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emória de Cálculo " sheetId="1" state="visible" r:id="rId2"/>
    <sheet name="BDI" sheetId="2" state="visible" r:id="rId3"/>
    <sheet name="Orçamento " sheetId="3" state="visible" r:id="rId4"/>
    <sheet name="Cronograma " sheetId="4" state="visible" r:id="rId5"/>
  </sheets>
  <definedNames>
    <definedName function="false" hidden="false" localSheetId="1" name="_xlnm.Print_Area" vbProcedure="false">BDI!$G$2:$P$58</definedName>
    <definedName function="false" hidden="false" localSheetId="3" name="_xlnm.Print_Area" vbProcedure="false">'Cronograma '!$D$2:$P$43</definedName>
    <definedName function="false" hidden="false" localSheetId="0" name="_xlnm.Print_Area" vbProcedure="false">'Memória de Cálculo '!$B$2:$H$266</definedName>
    <definedName function="false" hidden="false" localSheetId="2" name="_xlnm.Print_Area" vbProcedure="false">'Orçamento '!$D$3:$L$52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<sst xmlns="http://schemas.openxmlformats.org/spreadsheetml/2006/main" count="2149" uniqueCount="608">
  <si>
    <t xml:space="preserve">MEMÓRIA DE CÁLCULO </t>
  </si>
  <si>
    <r>
      <rPr>
        <b val="true"/>
        <sz val="12"/>
        <color rgb="FF000000"/>
        <rFont val="Times New Roman"/>
        <family val="1"/>
        <charset val="1"/>
      </rPr>
      <t xml:space="preserve">Obra:</t>
    </r>
    <r>
      <rPr>
        <sz val="12"/>
        <color rgb="FF000000"/>
        <rFont val="Times New Roman"/>
        <family val="1"/>
        <charset val="1"/>
      </rPr>
      <t xml:space="preserve"> Reforma com Modificação e Ampliação Creche Municipal Maria Conceição França Queiroz </t>
    </r>
  </si>
  <si>
    <r>
      <rPr>
        <b val="true"/>
        <sz val="12"/>
        <color rgb="FF000000"/>
        <rFont val="Times New Roman"/>
        <family val="1"/>
        <charset val="1"/>
      </rPr>
      <t xml:space="preserve">Endereço: </t>
    </r>
    <r>
      <rPr>
        <sz val="12"/>
        <color rgb="FF000000"/>
        <rFont val="Times New Roman"/>
        <family val="1"/>
        <charset val="1"/>
      </rPr>
      <t xml:space="preserve">Rua Gabriel Resende e Silva </t>
    </r>
  </si>
  <si>
    <r>
      <rPr>
        <b val="true"/>
        <sz val="12"/>
        <color rgb="FF000000"/>
        <rFont val="Times New Roman"/>
        <family val="1"/>
        <charset val="1"/>
      </rPr>
      <t xml:space="preserve">Referência:</t>
    </r>
    <r>
      <rPr>
        <sz val="12"/>
        <color rgb="FF000000"/>
        <rFont val="Times New Roman"/>
        <family val="1"/>
        <charset val="1"/>
      </rPr>
      <t xml:space="preserve"> SINAPI: Agosto/2021   -   SETOP: Julho/2021</t>
    </r>
  </si>
  <si>
    <t xml:space="preserve">Item</t>
  </si>
  <si>
    <t xml:space="preserve">Fonte</t>
  </si>
  <si>
    <t xml:space="preserve">Código</t>
  </si>
  <si>
    <t xml:space="preserve">Descrição</t>
  </si>
  <si>
    <t xml:space="preserve">Unidade</t>
  </si>
  <si>
    <t xml:space="preserve">Cálculo</t>
  </si>
  <si>
    <t xml:space="preserve">Quantidade</t>
  </si>
  <si>
    <t xml:space="preserve">Reforma</t>
  </si>
  <si>
    <t xml:space="preserve">Serviços Preliminares </t>
  </si>
  <si>
    <t xml:space="preserve">1.1</t>
  </si>
  <si>
    <t xml:space="preserve">SINAPI</t>
  </si>
  <si>
    <t xml:space="preserve">97644</t>
  </si>
  <si>
    <t xml:space="preserve">REMOÇÃO DE PORTAS, DE FORMA MANUAL, SEM REAPROVEITAMENTO. AF_12/2017</t>
  </si>
  <si>
    <t xml:space="preserve">M2</t>
  </si>
  <si>
    <t xml:space="preserve">((0,8*2,1)*24)</t>
  </si>
  <si>
    <t xml:space="preserve">1.2</t>
  </si>
  <si>
    <t xml:space="preserve">97645</t>
  </si>
  <si>
    <t xml:space="preserve">REMOÇÃO DE JANELAS, DE FORMA MANUAL, SEM REAPROVEITAMENTO. AF_12/2017</t>
  </si>
  <si>
    <t xml:space="preserve">((1,2*0,5)*7)+((1,5*0,5)*4)+((3*1,2)*8)</t>
  </si>
  <si>
    <t xml:space="preserve">1.3</t>
  </si>
  <si>
    <t xml:space="preserve">DEMOLIÇÃO DE ALVENARIA DE TIJOLO MACIÇO, DE FORMA MANUAL, SEM REAPROVEITAMENTO. AF_12/2017</t>
  </si>
  <si>
    <t xml:space="preserve">M3</t>
  </si>
  <si>
    <t xml:space="preserve">51,70*3*0,15</t>
  </si>
  <si>
    <t xml:space="preserve">Alvenaria</t>
  </si>
  <si>
    <t xml:space="preserve">2.1</t>
  </si>
  <si>
    <t xml:space="preserve">87507</t>
  </si>
  <si>
    <t xml:space="preserve">ALVENARIA DE VEDAÇÃO DE BLOCOS CERÂMICOS FURADOS NA HORIZONTAL DE 9X14X19CM (ESPESSURA 9CM) DE PAREDES COM ÁREA LÍQUIDA MAIOR OU IGUAL A 6M² SEM VÃOS E ARGAMASSA DE ASSENTAMENTO COM PREPARO EM BETONEIRA. AF_06/2014</t>
  </si>
  <si>
    <t xml:space="preserve">21,25+5,74+10,26+12,15+12,69+25,21+15,71+2,16+25,09</t>
  </si>
  <si>
    <t xml:space="preserve">Esquadrias  - Portas e Janelas </t>
  </si>
  <si>
    <t xml:space="preserve">3.1</t>
  </si>
  <si>
    <t xml:space="preserve">SETOP</t>
  </si>
  <si>
    <t xml:space="preserve">ED-50961</t>
  </si>
  <si>
    <t xml:space="preserve">FORNECIMENTO E ASSENTAMENTO DE JANELA DE ALUMÍNIO, LINHA SUPREMA ACABAMENTO ANODIZADO, TIPO BASCULA COM CONTRAMARCO, INCLUSIVE FORNECIMENTO DE VIDRO LISO DE 4MM, FERRAGENS E ACESSÓRIOS</t>
  </si>
  <si>
    <t xml:space="preserve">((1,2*0,5)*7)+((1,5*0,5)*4)</t>
  </si>
  <si>
    <t xml:space="preserve">3.2</t>
  </si>
  <si>
    <t xml:space="preserve">JANELA DE ALUMÍNIO DE CORRER COM 4 FOLHAS PARA VIDROS, COM VIDROS, BATENTE, ACABAMENTO COM ACETATO OU BRILHANTE E FERRAGENS. EXCLUSIVE ALIZAR E CONTRAMARCO. FORNECIMENTO E INSTALAÇÃO. AF_12/2019</t>
  </si>
  <si>
    <t xml:space="preserve">((3*1,2)*8)</t>
  </si>
  <si>
    <t xml:space="preserve">3.3</t>
  </si>
  <si>
    <t xml:space="preserve">ED-13888</t>
  </si>
  <si>
    <t xml:space="preserve">FORNECIMENTO E ASSENTAMENTO DE PORTA DE CORRER UMA (1) FOLHA, EM CHAPA GALVANIZADA LAMBRIL, MODELO ONDULADA,INCLUSIVE PERFIS PARA MARCO E PINTURA ANTICORROSIVA COM UMA (1) DEMÃO, EXCLUSIVE FECHADURA E ROLDANAS</t>
  </si>
  <si>
    <t xml:space="preserve">((0,8*2,1)*5)</t>
  </si>
  <si>
    <t xml:space="preserve">3.4</t>
  </si>
  <si>
    <t xml:space="preserve">PORTA DE ALUMÍNIO DE ABRIR COM LAMBRI, COM GUARNIÇÃO, FIXAÇÃO COM PARA FUSOS - FORNECIMENTO E INSTALAÇÃO. AF_12/2019</t>
  </si>
  <si>
    <t xml:space="preserve">3.5</t>
  </si>
  <si>
    <t xml:space="preserve">PORTA DE CORRER DE ALUMÍNIO, COM DUAS FOLHAS TODA EM VIDRO, INCLUSO VIDRO LISO INCOLOR, FECHADURA E PUXADOR, SEM ALIZAR. AF_12/2019</t>
  </si>
  <si>
    <t xml:space="preserve">((1,5*2,1)*1)</t>
  </si>
  <si>
    <t xml:space="preserve">3.6</t>
  </si>
  <si>
    <t xml:space="preserve">PORTA DE ALUMÍNIO DE ABRIR PARA VIDRO SEM GUARNIÇÃO, 87X210CM, FIXAÇÃO COM PARAFUSOS, INCLUSIVE VIDRO - FORNECIMENTO E INSTALAÇÃO. AF_12/2019</t>
  </si>
  <si>
    <t xml:space="preserve">((0,8*2,1)*9)</t>
  </si>
  <si>
    <t xml:space="preserve">Aterro</t>
  </si>
  <si>
    <t xml:space="preserve">4.1</t>
  </si>
  <si>
    <t xml:space="preserve">94319</t>
  </si>
  <si>
    <t xml:space="preserve">ATERRO MANUAL DE VALAS COM SOLO ARGILO-ARENOSO E COMPACTAÇÃO MECANIZADA. AF_05/2016</t>
  </si>
  <si>
    <t xml:space="preserve">(((1,78*0,65*0,60)+(1,40*0,80*0,20)+(1,10*0,80*0,20)+(0,80*0,80*0,20))*2)+(1,50*0,65*0,60)+(1,40*0,80*0,20)+(1,10*0,80*0,20)+(0,80*0,80*0,20)</t>
  </si>
  <si>
    <t xml:space="preserve">Revestimento </t>
  </si>
  <si>
    <t xml:space="preserve">5.1</t>
  </si>
  <si>
    <t xml:space="preserve">87894</t>
  </si>
  <si>
    <t xml:space="preserve">CHAPISCO APLICADO EM ALVENARIA (SEM PRESENÇA DE VÃOS) E ESTRUTURAS DE CONCRETO DE FACHADA, COM COLHER DE PEDREIRO.  ARGAMASSA TRAÇO 1:3 COM PREPARO EM BETONEIRA 400L. AF_06/2014</t>
  </si>
  <si>
    <t xml:space="preserve">2*130,26</t>
  </si>
  <si>
    <t xml:space="preserve">5.2</t>
  </si>
  <si>
    <t xml:space="preserve">87549</t>
  </si>
  <si>
    <t xml:space="preserve">EMBOÇO, PARA RECEBIMENTO DE CERÂMICA, EM ARGAMASSA TRAÇO 1:2:8, PREPARO MECÂNICO COM BETONEIRA 400L, APLICADO MANUALMENTE EM FACES INTERNAS DE PAREDES, PARA AMBIENTE COM ÁREA ENTRE 5M2 E 10M2, ESPESSURA DE 10MM, COM EXECUÇÃO DE TALISCAS. AF_06/2014</t>
  </si>
  <si>
    <t xml:space="preserve">20,80+11,41+79,52+44,36</t>
  </si>
  <si>
    <t xml:space="preserve">5.3</t>
  </si>
  <si>
    <t xml:space="preserve">87264</t>
  </si>
  <si>
    <t xml:space="preserve">REVESTIMENTO CERÂMICO PARA PAREDES INTERNAS COM PLACAS TIPO ESMALTADA EXTRA DE DIMENSÕES 20X20 CM APLICADAS EM AMBIENTES DE ÁREA MENOR QUE 5 M² NA ALTURA INTEIRA DAS PAREDES. AF_06/2014</t>
  </si>
  <si>
    <t xml:space="preserve">156+(1,88*3)+(1*3)+((6,40*3*2)-(0,80*2,10*2)+(2,85*3)*2)+(3,65*3)-(1,50*0,50*2)+(3,97*3)-(0,80*2,10)</t>
  </si>
  <si>
    <t xml:space="preserve">5.4</t>
  </si>
  <si>
    <t xml:space="preserve">87529</t>
  </si>
  <si>
    <t xml:space="preserve">MASSA ÚNICA, PARA RECEBIMENTO DE PINTURA, EM ARGAMASSA TRAÇO 1:2:8, PREPARO MECÂNICO COM BETONEIRA 400L, APLICADA MANUALMENTE EM FACES INTERNAS DE PAREDES, ESPESSURA DE 20MM, COM EXECUÇÃO DE TALISCAS. AF_06/2014</t>
  </si>
  <si>
    <t xml:space="preserve">260,52-156,00</t>
  </si>
  <si>
    <t xml:space="preserve">Piso</t>
  </si>
  <si>
    <t xml:space="preserve">6.1</t>
  </si>
  <si>
    <t xml:space="preserve">87700</t>
  </si>
  <si>
    <t xml:space="preserve">CONTRAPISO EM ARGAMASSA TRAÇO 1:4 (CIMENTO E AREIA), PREPARO MECÂNICO COM BETONEIRA 400 L, APLICADO EM ÁREAS SECAS SOBRE LAJE, NÃO ADERIDO, ESPESSURA 6CM. AF_06/2014</t>
  </si>
  <si>
    <t xml:space="preserve">(1,78*0,65*0,07*2)+(1,50*0,65*0,07)+(1,40*0,80*0,07*3)</t>
  </si>
  <si>
    <t xml:space="preserve">6.2</t>
  </si>
  <si>
    <t xml:space="preserve">ED-50612</t>
  </si>
  <si>
    <t xml:space="preserve">PISO EM GRANILITE/MARMORITE, ESP. 8MM, ACABAMENTO POLIDO, COR CINZA, MODULAÇÃO DE 1X1M, INCLUSIVE JUNTA ALUMÍNIO, RESINA E POLIMENTO MECANIZADO</t>
  </si>
  <si>
    <t xml:space="preserve">4,40+4,40+380,00+6,65</t>
  </si>
  <si>
    <t xml:space="preserve">Pintura</t>
  </si>
  <si>
    <t xml:space="preserve">7.1</t>
  </si>
  <si>
    <t xml:space="preserve">ED-50502</t>
  </si>
  <si>
    <t xml:space="preserve">PINTURA LÁTEX (PVA) EM PAREDE, DUAS (2) DEMÃOS, INCLUSIVE UMA (1) DEMÃO DE MASSA CORRIDA (PVA), EXCLUSIVE SELADOR ACRÍLICO</t>
  </si>
  <si>
    <t xml:space="preserve">146,08+95,38</t>
  </si>
  <si>
    <t xml:space="preserve">7.2</t>
  </si>
  <si>
    <t xml:space="preserve">APLICAÇÃO MANUAL DE PINTURA COM TINTA LÁTEX PVA EM PAREDES, DUAS DEMÃOS. AF_06/2014</t>
  </si>
  <si>
    <t xml:space="preserve">185,72+603,96</t>
  </si>
  <si>
    <t xml:space="preserve">7.3</t>
  </si>
  <si>
    <t xml:space="preserve">PINTURA COM TINTA ALQUÍDICA DE ACABAMENTO (ESMALTE SINTÉTICO ACETINADO ) APLICADA A ROLO OU PINCEL SOBRE SUPERFÍCIES METÁLICAS (EXCETO PERFIL ) EXECUTADO EM OBRA (02 DEMÃOS). AF_01/2020</t>
  </si>
  <si>
    <t xml:space="preserve">(((0,8*2,1)*5)*2)</t>
  </si>
  <si>
    <t xml:space="preserve">Divisorias </t>
  </si>
  <si>
    <t xml:space="preserve">8.1</t>
  </si>
  <si>
    <t xml:space="preserve">ED-48532</t>
  </si>
  <si>
    <t xml:space="preserve">DIVISÓRIA EM ARDÓSIA E=3CM, INCLUSIVE FERRAGENS EM LATÃO CROMADO</t>
  </si>
  <si>
    <t xml:space="preserve">0,4*4+1,33*2+0,32*2+2,20*2</t>
  </si>
  <si>
    <t xml:space="preserve">8.2</t>
  </si>
  <si>
    <t xml:space="preserve">SINAPI-I</t>
  </si>
  <si>
    <t xml:space="preserve">PORTA DE ABRIR EM ALUMINIO TIPO VENEZIANA, ACABAMENTO ANODIZADO NATURAL, SEM GUARNICAO/ALIZAR/VISTA</t>
  </si>
  <si>
    <t xml:space="preserve">((0,6*1,8)*4)</t>
  </si>
  <si>
    <t xml:space="preserve">Limpeza Geral </t>
  </si>
  <si>
    <t xml:space="preserve">9.1</t>
  </si>
  <si>
    <t xml:space="preserve">99814</t>
  </si>
  <si>
    <t xml:space="preserve">LIMPEZA DE SUPERFÍCIE COM JATO DE ALTA PRESSÃO. AF_04/2019</t>
  </si>
  <si>
    <t xml:space="preserve">(15,15*22,15)+(12,13*4,65)+(3,50*6,13)</t>
  </si>
  <si>
    <t xml:space="preserve">Ampliação  </t>
  </si>
  <si>
    <t xml:space="preserve">LIMPEZA MANUAL DE VEGETAÇÃO EM TERRENO COM ENXADA.AF_05/2018</t>
  </si>
  <si>
    <t xml:space="preserve">612,00+178,00-78,00</t>
  </si>
  <si>
    <t xml:space="preserve">LOCACAO CONVENCIONAL DE OBRA, UTILIZANDO GABARITO DE TÁBUAS CORRIDAS PONTALETADAS A CADA 2,00M -  2 UTILIZAÇÕES. AF_10/2018</t>
  </si>
  <si>
    <t xml:space="preserve">M</t>
  </si>
  <si>
    <t xml:space="preserve">Estaca a Trado </t>
  </si>
  <si>
    <t xml:space="preserve">ESTACA ESCAVADA MECANICAMENTE, SEM FLUIDO ESTABILIZANTE, COM 25CM DE DIÂMETRO, CONCRETO LANÇADO MANUALMENTE (EXCLUSIVE MOBILIZAÇÃO E DESMOBILIZAÇÃO). AF_01/2020</t>
  </si>
  <si>
    <t xml:space="preserve">(27+74)*4</t>
  </si>
  <si>
    <t xml:space="preserve">2.2</t>
  </si>
  <si>
    <t xml:space="preserve">CORTE E DOBRA DE AÇO CA-50, DIÂMETRO DE 5,0 MM, UTILIZADO EM ESTRUTURAS DIVERSAS, EXCETO LAJES. AF_12/2015</t>
  </si>
  <si>
    <t xml:space="preserve">KG</t>
  </si>
  <si>
    <t xml:space="preserve">17*0,90*0,154*101</t>
  </si>
  <si>
    <t xml:space="preserve">2.3</t>
  </si>
  <si>
    <t xml:space="preserve">CORTE E DOBRA DE AÇO CA-50, DIÂMETRO DE 8,0 MM, UTILIZADO EM ESTRUTURAS DIVERSAS, EXCETO LAJES. AF_12/2015</t>
  </si>
  <si>
    <t xml:space="preserve">5*3*0,39*101</t>
  </si>
  <si>
    <t xml:space="preserve">2.4</t>
  </si>
  <si>
    <t xml:space="preserve">94963</t>
  </si>
  <si>
    <t xml:space="preserve">CONCRETO FCK = 15MPA, TRAÇO 1:3,4:3,5 (CIMENTO/ AREIA MÉDIA/ BRITA 1)  - PREPARO MECÂNICO COM BETONEIRA 400 L. AF_07/2016</t>
  </si>
  <si>
    <t xml:space="preserve">Blocos </t>
  </si>
  <si>
    <t xml:space="preserve">ESCAVAÇÃO MANUAL PARA BLOCO DE COROAMENTO OU SAPATA, COM PREVISÃO DE FÔRMA. AF_06/2017</t>
  </si>
  <si>
    <t xml:space="preserve">0,55*0,55*0,65*85</t>
  </si>
  <si>
    <t xml:space="preserve">LASTRO DE CONCRETO MAGRO, APLICADO EM BLOCOS DE COROAMENTO OU SAPATAS. AF_08/2017</t>
  </si>
  <si>
    <t xml:space="preserve">0,55*0,55*0,05*85</t>
  </si>
  <si>
    <t xml:space="preserve">CHAPA DE MADEIRA COMPENSADA RESINADA PARA FORMA DE CONCRETO, DE *2,2 X 1,1* M, E = 14 MM</t>
  </si>
  <si>
    <t xml:space="preserve">0,50*0,60*4*85</t>
  </si>
  <si>
    <t xml:space="preserve">92792</t>
  </si>
  <si>
    <t xml:space="preserve">CORTE E DOBRA DE AÇO CA-50, DIÂMETRO DE 6,3 MM, UTILIZADO EM ESTRUTURAS DIVERSAS, EXCETO LAJES. AF_12/2015</t>
  </si>
  <si>
    <t xml:space="preserve">94964</t>
  </si>
  <si>
    <t xml:space="preserve">CONCRETO FCK = 20MPA, TRAÇO 1:2,7:3 (CIMENTO/ AREIA MÉDIA/ BRITA 1)  - PREPARO MECÂNICO COM BETONEIRA 400 L. AF_07/2016</t>
  </si>
  <si>
    <t xml:space="preserve">0,50*0,50*0,60*85</t>
  </si>
  <si>
    <t xml:space="preserve">DESMOLDANTE PROTETOR PARA FORMAS DE MADEIRA, DE BASE OLEOSA EMULSIONADA EM AGUA</t>
  </si>
  <si>
    <t xml:space="preserve">L</t>
  </si>
  <si>
    <t xml:space="preserve">3.7</t>
  </si>
  <si>
    <t xml:space="preserve">((0,025*0,60*0,55*2)+(0,025*0,60*0,50*2))*85</t>
  </si>
  <si>
    <t xml:space="preserve">Vigas Baldrame</t>
  </si>
  <si>
    <t xml:space="preserve">93358</t>
  </si>
  <si>
    <t xml:space="preserve">ESCAVAÇÃO MANUAL DE VALA COM PROFUNDIDADE MENOR OU IGUAL A 1,30 M. AF_03/2016</t>
  </si>
  <si>
    <t xml:space="preserve">3,22+4,43+4,65+2,14</t>
  </si>
  <si>
    <t xml:space="preserve">4.2</t>
  </si>
  <si>
    <t xml:space="preserve">CONCRETO MAGRO PARA LASTRO, TRAÇO 1:4,5:4,5 (CIMENTO/ AREIA MÉDIA/ BRITA 1) - PREPARO MECÂNICO COM BETONEIRA 600 L. AF_07/2016</t>
  </si>
  <si>
    <t xml:space="preserve">14,44-11,98</t>
  </si>
  <si>
    <t xml:space="preserve">4.3</t>
  </si>
  <si>
    <t xml:space="preserve">46,27+73,80+76,35+35,62</t>
  </si>
  <si>
    <t xml:space="preserve">4.4</t>
  </si>
  <si>
    <t xml:space="preserve">92791</t>
  </si>
  <si>
    <t xml:space="preserve">CORTE E DOBRA DE AÇO CA-60, DIÂMETRO DE 5,0 MM, UTILIZADO EM ESTRUTURAS DIVERSAS, EXCETO LAJES. AF_12/2015</t>
  </si>
  <si>
    <t xml:space="preserve">4.5</t>
  </si>
  <si>
    <t xml:space="preserve">92793</t>
  </si>
  <si>
    <t xml:space="preserve">4.6</t>
  </si>
  <si>
    <t xml:space="preserve">92794</t>
  </si>
  <si>
    <t xml:space="preserve">CORTE E DOBRA DE AÇO CA-50, DIÂMETRO DE 10,0 MM, UTILIZADO EM ESTRUTURAS DIVERSAS, EXCETO LAJES. AF_12/2015</t>
  </si>
  <si>
    <t xml:space="preserve">4.7</t>
  </si>
  <si>
    <t xml:space="preserve">92795</t>
  </si>
  <si>
    <t xml:space="preserve">CORTE E DOBRA DE AÇO CA-50, DIÂMETRO DE 12,5 MM, UTILIZADO EM ESTRUTURAS DIVERSAS, EXCETO LAJES. AF_12/2015</t>
  </si>
  <si>
    <t xml:space="preserve">4.8</t>
  </si>
  <si>
    <t xml:space="preserve">4.9</t>
  </si>
  <si>
    <t xml:space="preserve">4.10</t>
  </si>
  <si>
    <t xml:space="preserve">Alvenaria </t>
  </si>
  <si>
    <t xml:space="preserve">316,95+319,03+90,51+67,67-97,74</t>
  </si>
  <si>
    <t xml:space="preserve">Pilares</t>
  </si>
  <si>
    <t xml:space="preserve">(0,20*2,50*4*14)+(0,12*2,80*2)+71+(0,30*2,80*71)</t>
  </si>
  <si>
    <t xml:space="preserve">6.3</t>
  </si>
  <si>
    <t xml:space="preserve">6.4</t>
  </si>
  <si>
    <t xml:space="preserve">(0,20*0,20*2,50*14)+(0,12*0,30*2,80*71)</t>
  </si>
  <si>
    <t xml:space="preserve">6.5</t>
  </si>
  <si>
    <t xml:space="preserve">Vigas</t>
  </si>
  <si>
    <t xml:space="preserve">21,18+65,23+83,72+67,45+44,12</t>
  </si>
  <si>
    <t xml:space="preserve">7.4</t>
  </si>
  <si>
    <t xml:space="preserve">7.5</t>
  </si>
  <si>
    <t xml:space="preserve">7.6</t>
  </si>
  <si>
    <t xml:space="preserve">1,05+3,73+4,51+3,36</t>
  </si>
  <si>
    <t xml:space="preserve">7.7</t>
  </si>
  <si>
    <t xml:space="preserve">Laje</t>
  </si>
  <si>
    <t xml:space="preserve">LAJE PRÉ-MOLDADA UNIDIRECIONAL, BIAPOIADA, PARA FORRO, ENCHIMENTO EM CERÂMICA, VIGOTA CONVENCIONAL, ALTURA TOTAL DA LAJE (ENCHIMENTO+CAPA) =(8+3). AF_11/2020</t>
  </si>
  <si>
    <t xml:space="preserve">670,00-60,00-77,85</t>
  </si>
  <si>
    <t xml:space="preserve">Cobertura </t>
  </si>
  <si>
    <t xml:space="preserve">92542</t>
  </si>
  <si>
    <t xml:space="preserve">TRAMA DE MADEIRA COMPOSTA POR RIPAS, CAIBROS E TERÇAS PARA TELHADOS DE MAIS QUE 2 ÁGUAS PARA TELHA CERÂMICA CAPA-CANAL, INCLUSO TRANSPORTE VERTICAL. AF_07/2019</t>
  </si>
  <si>
    <t xml:space="preserve">733,00-77,85</t>
  </si>
  <si>
    <t xml:space="preserve">9.2</t>
  </si>
  <si>
    <t xml:space="preserve">94445</t>
  </si>
  <si>
    <t xml:space="preserve">TELHAMENTO COM TELHA CERÂMICA CAPA-CANAL, TIPO PLAN, COM ATÉ 2 ÁGUAS, INCLUSO TRANSPORTE VERTICAL. AF_07/2019</t>
  </si>
  <si>
    <t xml:space="preserve">733,00-77,86</t>
  </si>
  <si>
    <t xml:space="preserve">Revestimento - Alvenarias e tetos </t>
  </si>
  <si>
    <t xml:space="preserve">10.1</t>
  </si>
  <si>
    <t xml:space="preserve">(2*696,42)+(0,20*390,358*2)+532,15</t>
  </si>
  <si>
    <t xml:space="preserve">10.2</t>
  </si>
  <si>
    <t xml:space="preserve">7,84+59,34+52,11+30,57+32,64+5,58+25,14+39,24+20,47+21,67+20,17+20,52+112,04+21,32</t>
  </si>
  <si>
    <t xml:space="preserve">10.3</t>
  </si>
  <si>
    <t xml:space="preserve">10.4</t>
  </si>
  <si>
    <t xml:space="preserve">2081,13-468,65</t>
  </si>
  <si>
    <t xml:space="preserve">11.1</t>
  </si>
  <si>
    <t xml:space="preserve">11.2</t>
  </si>
  <si>
    <t xml:space="preserve">11.3</t>
  </si>
  <si>
    <t xml:space="preserve">PISO TATIL ALERTA OU DIRECIONAL, DE BORRACHA, COLORIDO, 25 X 25 CM, E = 5 MM, PARA COLA</t>
  </si>
  <si>
    <t xml:space="preserve">Esquadrias - Portas e Janelas</t>
  </si>
  <si>
    <t xml:space="preserve">12.1</t>
  </si>
  <si>
    <t xml:space="preserve">((0,7*0,5)*4)+((1,5*0,5)*2)+((0,5*0,5)*1)+((1,2*0,5)*2)+((1,5*0,5)*2)+((0,7*0,5)*2)+((1,5*0,5)*1)+((0,3*1,2)*2)+((0,5*0,5)*1)+((1,5*0,5)*2)+((2*0,5)*2)</t>
  </si>
  <si>
    <t xml:space="preserve">12.2</t>
  </si>
  <si>
    <t xml:space="preserve">((1,5*1,2)*12)+((3*1,2)*5)+((2*1,2)*4)</t>
  </si>
  <si>
    <t xml:space="preserve">12.3</t>
  </si>
  <si>
    <t xml:space="preserve">((0,8*2,1)*7)</t>
  </si>
  <si>
    <t xml:space="preserve">12.4</t>
  </si>
  <si>
    <t xml:space="preserve">ED-50991</t>
  </si>
  <si>
    <t xml:space="preserve">FORNECIMENTO E ASSENTAMENTO DE PORTA DE ALUMÍNIO, LINHA SUPREMA ACABAMENTO ANODIZADO,TIPO CORRER,COM UMA FOLHA,INCLUSIVE FORNECIMENTO DE VIDRO LISO DE 4MM, FERRAGENS E ACESSÓRIOS</t>
  </si>
  <si>
    <t xml:space="preserve">((0,8*2,1)*2)</t>
  </si>
  <si>
    <t xml:space="preserve">12.5</t>
  </si>
  <si>
    <t xml:space="preserve">((0,8*2,1)*14)</t>
  </si>
  <si>
    <t xml:space="preserve">12.6</t>
  </si>
  <si>
    <t xml:space="preserve">((0,8*2,1)*19)</t>
  </si>
  <si>
    <t xml:space="preserve">12.7</t>
  </si>
  <si>
    <t xml:space="preserve">ED-50951</t>
  </si>
  <si>
    <t xml:space="preserve">FORNECIMENTO E ASSENTAMENTO DE GRADE FIXA DE FERRO,PARA PROTEÇÃO DE JANELAS</t>
  </si>
  <si>
    <t xml:space="preserve">((3,2*1,4)*13)+((2,2*1,4)*4)+((1,4*0,7)*8)+((0,9*0,7)*1)+((0,8*0,8)*2)+((1,7*1,4)*6)+((1,7*0,7)*3)+((0,7*0,7)*2)+((0,4*1,4)*2)</t>
  </si>
  <si>
    <t xml:space="preserve">12.8</t>
  </si>
  <si>
    <t xml:space="preserve">ED-50983</t>
  </si>
  <si>
    <t xml:space="preserve">PORTÃO DE GRADE COLOCADO COM CADEADO </t>
  </si>
  <si>
    <t xml:space="preserve">((1*2,2)*16)+((1,5*2,2)*3)+((1,5*2,2)*1)+((3*1,2)*1)</t>
  </si>
  <si>
    <t xml:space="preserve">12.9</t>
  </si>
  <si>
    <t xml:space="preserve">ED-50982</t>
  </si>
  <si>
    <t xml:space="preserve">PORTÃO DE FERRO PADRÃO, EM CHAPA (TIPO LAMBRI), COLOCADO COM CADEADO - ABRIR</t>
  </si>
  <si>
    <t xml:space="preserve">(1*2,5)+(2*2,5)+(0,8*2,1)</t>
  </si>
  <si>
    <t xml:space="preserve">12.10</t>
  </si>
  <si>
    <t xml:space="preserve">PORTÃO DE FERRO PADRÃO, EM CHAPA (TIPO LAMBRI), COLOCADO COM CADEADO - CORRER</t>
  </si>
  <si>
    <t xml:space="preserve">2,8*2,5</t>
  </si>
  <si>
    <t xml:space="preserve">12.11</t>
  </si>
  <si>
    <t xml:space="preserve">ED-50803</t>
  </si>
  <si>
    <t xml:space="preserve">PORTA DE ABRIR EM FERRO E TELA FIO 6 - PADRÃO SEDS</t>
  </si>
  <si>
    <t xml:space="preserve">12.12</t>
  </si>
  <si>
    <t xml:space="preserve">ED-50924</t>
  </si>
  <si>
    <t xml:space="preserve">ALÇAPÃO 80 X 80 CM COM COM QUADRO DE CANTONEIRA
METÁLICA 1"X 1/8", TAMPA EM CANTONEIRA 7/8"X 1/8" E CHAPA
METÁLICA ENRIJECIDA POR PERFIL "T
ALÇAPÃO 80 X 80 CM COM COM QUADRO DE CANTONEIRA
METÁLICA 1"X 1/8", TAMPA EM CANTONEIRA 7/8"X 1/8" E CHAPA
METÁLICA ENRIJECIDA POR PERFIL "T</t>
  </si>
  <si>
    <t xml:space="preserve">un</t>
  </si>
  <si>
    <t xml:space="preserve">13.1</t>
  </si>
  <si>
    <t xml:space="preserve">2,60*2+0,36*2+0,37*2+2,60*2+2,20*2</t>
  </si>
  <si>
    <t xml:space="preserve">13.2</t>
  </si>
  <si>
    <t xml:space="preserve">Pintura - Alvenarias, Tetos e Esquadrias </t>
  </si>
  <si>
    <t xml:space="preserve">14.1</t>
  </si>
  <si>
    <t xml:space="preserve">PINTURA LÁTEX (PVA) EM PAREDE, DUAS (2)
 DEMÃOS, INCLUSIVE UMA (1) DEMÃO DE MASSA CORRIDA (PVA), EXCLUSIVE SELADOR ACRÍLICO</t>
  </si>
  <si>
    <t xml:space="preserve">(182,50*0,90)+(281*0,90)</t>
  </si>
  <si>
    <t xml:space="preserve">14.2</t>
  </si>
  <si>
    <t xml:space="preserve">1612,48-417,15</t>
  </si>
  <si>
    <t xml:space="preserve">14.3</t>
  </si>
  <si>
    <t xml:space="preserve">PINTURA COM TINTA ALQUÍDICA DE ACABAMENTO (ESMALTE SINTÉTICO ACETINADO) PULVERIZADA SOBRE SUPERFÍCIES METÁLICAS (EXCETO PERFIL) EXECUTADO EM OBRA (DUAS DEMÃO). AF_01/2020</t>
  </si>
  <si>
    <t xml:space="preserve">(11,76*2)+102,08+52+(9,18*2)+(7*2)+3,36</t>
  </si>
  <si>
    <t xml:space="preserve">15.1</t>
  </si>
  <si>
    <t xml:space="preserve">Hidro-sanitário, Incêndio e Eletrico - Parte Modificada e Ampliada </t>
  </si>
  <si>
    <t xml:space="preserve">Instalação Hidráulica </t>
  </si>
  <si>
    <t xml:space="preserve">Tubo PVC soldável Ø 20 mm, fornecimento e instalação</t>
  </si>
  <si>
    <t xml:space="preserve">m</t>
  </si>
  <si>
    <t xml:space="preserve">Tubo e decida para caixa de descarga alta </t>
  </si>
  <si>
    <t xml:space="preserve">ED-50332</t>
  </si>
  <si>
    <t xml:space="preserve">TUBO DE LIGAÇÃO DE ÁGUA PARA BACIA SANITÁRIA (VASO), DN 1.1/2", COMPRIMENTO 20CM, INCLUSIVE CANOPLA, SPUD, FORNECIMENTO E INSTALAÇÃO</t>
  </si>
  <si>
    <t xml:space="preserve">1.4</t>
  </si>
  <si>
    <t xml:space="preserve">Tubo PVC rosquivale 1/2</t>
  </si>
  <si>
    <t xml:space="preserve">1.5</t>
  </si>
  <si>
    <t xml:space="preserve">Tubo  soldável  20mm</t>
  </si>
  <si>
    <t xml:space="preserve">1.6</t>
  </si>
  <si>
    <t xml:space="preserve">Tubo  soldável  25mm</t>
  </si>
  <si>
    <t xml:space="preserve">1.7</t>
  </si>
  <si>
    <t xml:space="preserve">Tubo  soldável  50mm</t>
  </si>
  <si>
    <t xml:space="preserve">1.8</t>
  </si>
  <si>
    <t xml:space="preserve">Tubo  soldável  60mm</t>
  </si>
  <si>
    <t xml:space="preserve">1.9</t>
  </si>
  <si>
    <t xml:space="preserve">Tubo  soldável  75mm</t>
  </si>
  <si>
    <t xml:space="preserve">1.10</t>
  </si>
  <si>
    <t xml:space="preserve">Tubo de PVC Ø100mm, fornecimento e instalação</t>
  </si>
  <si>
    <t xml:space="preserve">1.11</t>
  </si>
  <si>
    <t xml:space="preserve">tubo de PVC sold 40 mm, fornec. e instalação</t>
  </si>
  <si>
    <t xml:space="preserve">1.12</t>
  </si>
  <si>
    <t xml:space="preserve">Tubo de PVC soldável 75 mm, fornec. e instalação</t>
  </si>
  <si>
    <t xml:space="preserve">1.13</t>
  </si>
  <si>
    <t xml:space="preserve">Tubo de PVC rigido 50mm</t>
  </si>
  <si>
    <t xml:space="preserve">1.14</t>
  </si>
  <si>
    <t xml:space="preserve">Registro de gaveta  bruto ABNT 1. 1/2</t>
  </si>
  <si>
    <t xml:space="preserve">1.15</t>
  </si>
  <si>
    <t xml:space="preserve">Registro de pressão com canopla cromada 3/4", fornecimento e instalação</t>
  </si>
  <si>
    <t xml:space="preserve">1.16</t>
  </si>
  <si>
    <t xml:space="preserve">Registro bruto de gaveta 2 1/2 industrial</t>
  </si>
  <si>
    <t xml:space="preserve">um</t>
  </si>
  <si>
    <t xml:space="preserve">1.17</t>
  </si>
  <si>
    <t xml:space="preserve">Registro esfera 1/2</t>
  </si>
  <si>
    <t xml:space="preserve">1.18</t>
  </si>
  <si>
    <t xml:space="preserve">Registro esfera borboleta bruto PVC - 1/2", fornecimento e instalação</t>
  </si>
  <si>
    <t xml:space="preserve">1.19</t>
  </si>
  <si>
    <t xml:space="preserve">Adaptador sol. curto com bolsa-rosca para registro - 20mm - 1/2", fornecimento e instalação</t>
  </si>
  <si>
    <t xml:space="preserve">1.20</t>
  </si>
  <si>
    <t xml:space="preserve">Adaptador soldável curto com bolsa -rosca 25mm-3/4</t>
  </si>
  <si>
    <t xml:space="preserve">1.21</t>
  </si>
  <si>
    <t xml:space="preserve">Adaptador soldável com flange livre para caixa de água 75 2 1/2</t>
  </si>
  <si>
    <t xml:space="preserve">1.22</t>
  </si>
  <si>
    <t xml:space="preserve">Adaptador soldável curto com bolsa -rosca 50mm-1. 1/2</t>
  </si>
  <si>
    <t xml:space="preserve">1.23</t>
  </si>
  <si>
    <t xml:space="preserve">Adaptador sol. longo com flange para caixa de água  - 20mm - 1/2", fornecimento e instalação</t>
  </si>
  <si>
    <t xml:space="preserve">1.24</t>
  </si>
  <si>
    <t xml:space="preserve">Válvula de descarga baixa pressão  1. /2</t>
  </si>
  <si>
    <t xml:space="preserve">1.25</t>
  </si>
  <si>
    <t xml:space="preserve">Válvula  para pia, tanque e lavatório</t>
  </si>
  <si>
    <t xml:space="preserve">1.26</t>
  </si>
  <si>
    <t xml:space="preserve">Bolsa de ligação para vaso sanitário 1. 1/2</t>
  </si>
  <si>
    <t xml:space="preserve">1.27</t>
  </si>
  <si>
    <t xml:space="preserve">Ralo sifonado  100mm- 40mm</t>
  </si>
  <si>
    <t xml:space="preserve">1.28</t>
  </si>
  <si>
    <t xml:space="preserve">Colar de de tomada  PVC misto soldável 1/2</t>
  </si>
  <si>
    <t xml:space="preserve">1.29</t>
  </si>
  <si>
    <t xml:space="preserve">Engate flexível plastico 1/2 - 30cm</t>
  </si>
  <si>
    <t xml:space="preserve">1.30</t>
  </si>
  <si>
    <t xml:space="preserve">Bacia Sanitária Convencional, código Izy P.11, DECA, ou equivalente com acessórios- fornecimento e instalação</t>
  </si>
  <si>
    <t xml:space="preserve">1.31</t>
  </si>
  <si>
    <t xml:space="preserve">Caixa sinfonada 150x150x50 R</t>
  </si>
  <si>
    <t xml:space="preserve">1.32</t>
  </si>
  <si>
    <t xml:space="preserve">ED-48587</t>
  </si>
  <si>
    <t xml:space="preserve">Caixa de areia  100X100X100cm           </t>
  </si>
  <si>
    <t xml:space="preserve">1.33</t>
  </si>
  <si>
    <t xml:space="preserve">Caixa de gordura simples - CG 40cm</t>
  </si>
  <si>
    <t xml:space="preserve">1.34</t>
  </si>
  <si>
    <t xml:space="preserve">ED-51056</t>
  </si>
  <si>
    <t xml:space="preserve">CAIXA DE INSPEÇÃO EM CIMENTO AGREGADO 300X300 MM COM TAPA EM FERRO FUNDIDO</t>
  </si>
  <si>
    <t xml:space="preserve">1.35</t>
  </si>
  <si>
    <t xml:space="preserve">Sifão de copo para pia  e lavátorio  1- 1.1/2</t>
  </si>
  <si>
    <t xml:space="preserve">1.36</t>
  </si>
  <si>
    <t xml:space="preserve">Curva 90 soldável 20 mm</t>
  </si>
  <si>
    <t xml:space="preserve">1.37</t>
  </si>
  <si>
    <t xml:space="preserve">Curva 90 soldável 25 mm</t>
  </si>
  <si>
    <t xml:space="preserve">1.38</t>
  </si>
  <si>
    <t xml:space="preserve">Curva 90 soldável 50mm</t>
  </si>
  <si>
    <t xml:space="preserve">1.39</t>
  </si>
  <si>
    <t xml:space="preserve">Curva 90 soldável 75mm</t>
  </si>
  <si>
    <t xml:space="preserve">1.40</t>
  </si>
  <si>
    <t xml:space="preserve">Curva 90 soldável 60mm</t>
  </si>
  <si>
    <t xml:space="preserve">1.41</t>
  </si>
  <si>
    <t xml:space="preserve">Curva 45  longa  100mm</t>
  </si>
  <si>
    <t xml:space="preserve">1.42</t>
  </si>
  <si>
    <t xml:space="preserve">Curva  45 longa 100mm </t>
  </si>
  <si>
    <t xml:space="preserve">1.43</t>
  </si>
  <si>
    <t xml:space="preserve">CHUVEIRO COMUM EM PLASTICO BRANCO, COM CANO, 3 TEMPERATURAS, 5500 W (110/220 UN 55,40 V)</t>
  </si>
  <si>
    <t xml:space="preserve">1.44</t>
  </si>
  <si>
    <t xml:space="preserve">Ducha Higiênica com registro e derivação Izy, código 1984.C37. ACT.CR, DECA, ou equivalente, fornecimento e instalação</t>
  </si>
  <si>
    <t xml:space="preserve">un.</t>
  </si>
  <si>
    <t xml:space="preserve">1.45</t>
  </si>
  <si>
    <t xml:space="preserve">Curva  45 longa 50mm </t>
  </si>
  <si>
    <t xml:space="preserve">1.46</t>
  </si>
  <si>
    <t xml:space="preserve">Curva 90 curta 100mm</t>
  </si>
  <si>
    <t xml:space="preserve">1.47</t>
  </si>
  <si>
    <t xml:space="preserve">Curva PVC 90º curta - 40mm - fornecimento e instalação</t>
  </si>
  <si>
    <t xml:space="preserve">1.48</t>
  </si>
  <si>
    <t xml:space="preserve">Joelho 90 soldável - 20mm, fornecimento e instalação</t>
  </si>
  <si>
    <t xml:space="preserve">1.49</t>
  </si>
  <si>
    <t xml:space="preserve">Joelho 90 soldável  com redução  c/ bucha latão 25mm-1/2</t>
  </si>
  <si>
    <t xml:space="preserve">1.50</t>
  </si>
  <si>
    <t xml:space="preserve">Joelho 90 soldavel com bucha de latao  3/4</t>
  </si>
  <si>
    <t xml:space="preserve">1.51</t>
  </si>
  <si>
    <t xml:space="preserve">Joelho 90 soldável  com rosca -1.1/2</t>
  </si>
  <si>
    <t xml:space="preserve">1.52</t>
  </si>
  <si>
    <t xml:space="preserve">Joelho 90 soldável  com rosca 1/2</t>
  </si>
  <si>
    <t xml:space="preserve">1.53</t>
  </si>
  <si>
    <t xml:space="preserve">Joelho PVC 90º 50mm - fornecimento e instalação</t>
  </si>
  <si>
    <t xml:space="preserve">1.54</t>
  </si>
  <si>
    <t xml:space="preserve">Joelho PVC 90 com anel para esgoto secundario - 40mm - 1 1/2" - fornecimento e instalação</t>
  </si>
  <si>
    <t xml:space="preserve">1.55</t>
  </si>
  <si>
    <t xml:space="preserve">Tê 90 soldável 20mm</t>
  </si>
  <si>
    <t xml:space="preserve">1.56</t>
  </si>
  <si>
    <t xml:space="preserve">Tê 90 soldável 25mm</t>
  </si>
  <si>
    <t xml:space="preserve">1.57</t>
  </si>
  <si>
    <t xml:space="preserve">Tê 90 soldável 50mm</t>
  </si>
  <si>
    <t xml:space="preserve">1.58</t>
  </si>
  <si>
    <t xml:space="preserve">Tê 90 soldável 60mm</t>
  </si>
  <si>
    <t xml:space="preserve">1.59</t>
  </si>
  <si>
    <t xml:space="preserve">Tê 90 soldável 75mm</t>
  </si>
  <si>
    <t xml:space="preserve">1.60</t>
  </si>
  <si>
    <t xml:space="preserve">Tê 90 soldável com bucha latão  25mm -3/4</t>
  </si>
  <si>
    <t xml:space="preserve">1.61</t>
  </si>
  <si>
    <t xml:space="preserve">Tê 90 soldável com bucha latão  25mm -1/2</t>
  </si>
  <si>
    <t xml:space="preserve">1.62</t>
  </si>
  <si>
    <t xml:space="preserve">Tê 90 soldável de redução 50mm-25mm</t>
  </si>
  <si>
    <t xml:space="preserve">1.63</t>
  </si>
  <si>
    <t xml:space="preserve">Tê 90 soldável de redução 75mm-60mm</t>
  </si>
  <si>
    <t xml:space="preserve">1.64</t>
  </si>
  <si>
    <t xml:space="preserve">Tê PVC sanitario 50mm-50mm - fornecimento e instalação</t>
  </si>
  <si>
    <t xml:space="preserve">1.65</t>
  </si>
  <si>
    <t xml:space="preserve">Bucha de redução PVC longa  soldával 50mm-25mm</t>
  </si>
  <si>
    <t xml:space="preserve">1.66</t>
  </si>
  <si>
    <t xml:space="preserve">Bucha de redução PVC longa  soldável 60mm-50mm</t>
  </si>
  <si>
    <t xml:space="preserve">1.67</t>
  </si>
  <si>
    <t xml:space="preserve">Bucha de redução PVC curta  soldával 60mm-50mm</t>
  </si>
  <si>
    <t xml:space="preserve">1.68</t>
  </si>
  <si>
    <t xml:space="preserve">Bucha de redução PVC curta   soldável 75mm-60mm</t>
  </si>
  <si>
    <t xml:space="preserve">1.69</t>
  </si>
  <si>
    <t xml:space="preserve">Junção PVC simples 100mm-50mm - fornecimento e instalação</t>
  </si>
  <si>
    <t xml:space="preserve">1.70</t>
  </si>
  <si>
    <t xml:space="preserve">Junção PVC simples 100mm-100mm - fornecimento e instalação</t>
  </si>
  <si>
    <t xml:space="preserve">1.71</t>
  </si>
  <si>
    <t xml:space="preserve">Junção PVC simples 50mm-50mm - fornecimento e instalação</t>
  </si>
  <si>
    <t xml:space="preserve">1.72</t>
  </si>
  <si>
    <t xml:space="preserve">Junção PVC simples 75mm-50mm - fornecimento e instalação</t>
  </si>
  <si>
    <t xml:space="preserve">1.73</t>
  </si>
  <si>
    <t xml:space="preserve">Junção PVC simples 75mm-75mm - fornecimento e instalação</t>
  </si>
  <si>
    <t xml:space="preserve">1.74</t>
  </si>
  <si>
    <t xml:space="preserve">Luva soldadavel redução 25-1/2</t>
  </si>
  <si>
    <t xml:space="preserve">1.75</t>
  </si>
  <si>
    <t xml:space="preserve">Luva soldadavel c/ rosca 25 mm-3/4</t>
  </si>
  <si>
    <t xml:space="preserve">1.76</t>
  </si>
  <si>
    <t xml:space="preserve">Torneira para cozinha de mesa bica móvel Izy, código 1167.C37, DECA, ou equivalente</t>
  </si>
  <si>
    <t xml:space="preserve">1.77</t>
  </si>
  <si>
    <t xml:space="preserve">Torneira de parede de uso geral para jardim ou tanque</t>
  </si>
  <si>
    <t xml:space="preserve">1.78</t>
  </si>
  <si>
    <t xml:space="preserve">Torneira para lavatório de mesa bica baixa Izy, código 1193.C37, Deca ou equivalente</t>
  </si>
  <si>
    <t xml:space="preserve">1.79</t>
  </si>
  <si>
    <t xml:space="preserve">HID-DAG-015</t>
  </si>
  <si>
    <t xml:space="preserve">CAIXA D´ÁGUA DE POLIETILENO, CAPACIDADE DE 1.000L,
INCLUSIVE TAMPA, TORNEIRA DE BOIA, EXTRAVASOR, TUBO DE
LIMPEZA E ACESSÓRIOS, EXCLUSIVE TUBULAÇÃO DE
ENTRADA/SAÍDA DE ÁGUA</t>
  </si>
  <si>
    <t xml:space="preserve">Sistema de Proteção Contra Incêndio </t>
  </si>
  <si>
    <t xml:space="preserve">38774</t>
  </si>
  <si>
    <t xml:space="preserve">Luminária de emergência 2w -30  - LED</t>
  </si>
  <si>
    <t xml:space="preserve">INC-PLA-015</t>
  </si>
  <si>
    <t xml:space="preserve">Placa S1</t>
  </si>
  <si>
    <t xml:space="preserve">INC-PLA-020</t>
  </si>
  <si>
    <t xml:space="preserve">Placa S2</t>
  </si>
  <si>
    <t xml:space="preserve">37558</t>
  </si>
  <si>
    <t xml:space="preserve">Placa de sinalização de incêndio</t>
  </si>
  <si>
    <t xml:space="preserve">2.5</t>
  </si>
  <si>
    <t xml:space="preserve">INC-EXT-010</t>
  </si>
  <si>
    <t xml:space="preserve">Extintor de incêndio água pressurizada 2-A, capacidade 10 L</t>
  </si>
  <si>
    <t xml:space="preserve">2.6</t>
  </si>
  <si>
    <t xml:space="preserve">10891</t>
  </si>
  <si>
    <t xml:space="preserve">Hidrante</t>
  </si>
  <si>
    <t xml:space="preserve">2.7</t>
  </si>
  <si>
    <t xml:space="preserve">21032</t>
  </si>
  <si>
    <t xml:space="preserve">Mangueiras de incêndio tipo 1 1/2  comprimento  30m</t>
  </si>
  <si>
    <t xml:space="preserve">2.8</t>
  </si>
  <si>
    <t xml:space="preserve">INC-ACI-005</t>
  </si>
  <si>
    <t xml:space="preserve">Acionador manual (botoeira) "aperte aqui", p/instal. Incêndio</t>
  </si>
  <si>
    <t xml:space="preserve">2.9</t>
  </si>
  <si>
    <t xml:space="preserve">INC-BOM- 010</t>
  </si>
  <si>
    <t xml:space="preserve">Quadro de força de alarme 3cv</t>
  </si>
  <si>
    <t xml:space="preserve">2.10</t>
  </si>
  <si>
    <t xml:space="preserve">INC-BOM-030</t>
  </si>
  <si>
    <t xml:space="preserve">Sirene para alarme 220v </t>
  </si>
  <si>
    <t xml:space="preserve">2.11</t>
  </si>
  <si>
    <t xml:space="preserve">INC-CHA-005</t>
  </si>
  <si>
    <t xml:space="preserve">Chave para conexão de mangueira tipo storz engate rápido - dupla 1 1/2" x 1 1/2"</t>
  </si>
  <si>
    <t xml:space="preserve">Instalação Elétrica</t>
  </si>
  <si>
    <t xml:space="preserve"> Tomada dupla com Espelho - 2P+T - 2 x4"</t>
  </si>
  <si>
    <t xml:space="preserve"> Tomada dupla com Espelho - 2P+T - 4 x4"</t>
  </si>
  <si>
    <t xml:space="preserve"> Tomada RJ45, categoria 5</t>
  </si>
  <si>
    <t xml:space="preserve"> Tomada com Espelho - - 4x4"</t>
  </si>
  <si>
    <t xml:space="preserve"> Tomada com Espelho - 2P+T - 2x4"</t>
  </si>
  <si>
    <t xml:space="preserve">Eletroduto Corrugada - Tipo mangueira 25mm</t>
  </si>
  <si>
    <t xml:space="preserve"> Tubular T5 sobrepor - 2x28W / 54W</t>
  </si>
  <si>
    <t xml:space="preserve">3.8</t>
  </si>
  <si>
    <t xml:space="preserve"> Caixa 2x4"</t>
  </si>
  <si>
    <t xml:space="preserve">3.9</t>
  </si>
  <si>
    <t xml:space="preserve"> Caixa 4x4"</t>
  </si>
  <si>
    <t xml:space="preserve">3.10</t>
  </si>
  <si>
    <t xml:space="preserve"> Caixa de Passagem - 120x120x75 mm"</t>
  </si>
  <si>
    <t xml:space="preserve">3.11</t>
  </si>
  <si>
    <t xml:space="preserve"> Luminária tipo - Arandela</t>
  </si>
  <si>
    <t xml:space="preserve">3.12</t>
  </si>
  <si>
    <t xml:space="preserve"> LED - Luminária de 15W (Ultra Led A60 - E27)</t>
  </si>
  <si>
    <t xml:space="preserve">3.13</t>
  </si>
  <si>
    <t xml:space="preserve"> Interruptor com Espelho - Simples</t>
  </si>
  <si>
    <t xml:space="preserve">3.14</t>
  </si>
  <si>
    <t xml:space="preserve"> Interruptor com Espelho - 2 Simples</t>
  </si>
  <si>
    <t xml:space="preserve">3.15</t>
  </si>
  <si>
    <t xml:space="preserve"> Interruptor com Espelho - 3 Simples</t>
  </si>
  <si>
    <t xml:space="preserve">3.16</t>
  </si>
  <si>
    <t xml:space="preserve"> Interruptor com Espelho - Paralelo</t>
  </si>
  <si>
    <t xml:space="preserve">3.17</t>
  </si>
  <si>
    <t xml:space="preserve"> Interruptor com Espelho - Intermediário</t>
  </si>
  <si>
    <t xml:space="preserve">3.18</t>
  </si>
  <si>
    <t xml:space="preserve"> Interruptor com Espelho - 2 Simples + 2 Paralelos</t>
  </si>
  <si>
    <t xml:space="preserve">3.19</t>
  </si>
  <si>
    <t xml:space="preserve"> Quadro de Distribuiçao Energia Embutido com 36 Posiçoes</t>
  </si>
  <si>
    <t xml:space="preserve">3.20</t>
  </si>
  <si>
    <t xml:space="preserve"> Cabo  450/750 V BWF Antiflam 2,5 mm - Preto</t>
  </si>
  <si>
    <t xml:space="preserve">m </t>
  </si>
  <si>
    <t xml:space="preserve">3.21</t>
  </si>
  <si>
    <t xml:space="preserve"> Cabo 450/750 V BWF Antiflam 2,5 mm - Azul</t>
  </si>
  <si>
    <t xml:space="preserve">3.22</t>
  </si>
  <si>
    <t xml:space="preserve"> Cabo  450/750 V BWF Antiflam 2,5 mm - Verde</t>
  </si>
  <si>
    <t xml:space="preserve">3.23</t>
  </si>
  <si>
    <t xml:space="preserve"> Cabo 450/750 V BWF Antiflam 2,5 mm - Branco</t>
  </si>
  <si>
    <t xml:space="preserve">3.24</t>
  </si>
  <si>
    <t xml:space="preserve"> Cabo  450/750 V BWF Antiflam 6,0 mm - preto</t>
  </si>
  <si>
    <t xml:space="preserve">3.25</t>
  </si>
  <si>
    <t xml:space="preserve"> Cabo  450/750 V BWF Antiflam 6,0 mm - Azul</t>
  </si>
  <si>
    <t xml:space="preserve">3.26</t>
  </si>
  <si>
    <t xml:space="preserve"> Cabo Flexível 450/750 V BWF Antiflam 2,5 mm - Preto</t>
  </si>
  <si>
    <t xml:space="preserve">3.27</t>
  </si>
  <si>
    <t xml:space="preserve"> Cabo Flexível  450/750 V BWF Antiflam 2,5 mm - Azul</t>
  </si>
  <si>
    <t xml:space="preserve">3.28</t>
  </si>
  <si>
    <t xml:space="preserve"> Cabo Flexível 450/750 V BWF Antiflam 2,5 mm - Verde</t>
  </si>
  <si>
    <t xml:space="preserve">3.29</t>
  </si>
  <si>
    <t xml:space="preserve"> Cabo Flexível 450/750 V BWF Antiflam 2,5 mm- Branco</t>
  </si>
  <si>
    <t xml:space="preserve">3.30</t>
  </si>
  <si>
    <t xml:space="preserve"> Cabo Flexível 450/750 V BWF Antiflam 4 mm - Preto</t>
  </si>
  <si>
    <t xml:space="preserve">3.31</t>
  </si>
  <si>
    <t xml:space="preserve"> Cabo Flexível  450/750 V BWF Antiflam 4mm - Azul</t>
  </si>
  <si>
    <t xml:space="preserve">3.32</t>
  </si>
  <si>
    <t xml:space="preserve"> Cabo Flexível  450/750 V BWF Antiflam 4 mm - Branco</t>
  </si>
  <si>
    <t xml:space="preserve">3.33</t>
  </si>
  <si>
    <t xml:space="preserve"> Cabo Flexível 450/750 V BWF Antiflam 4mm - Verde</t>
  </si>
  <si>
    <t xml:space="preserve">3.34</t>
  </si>
  <si>
    <t xml:space="preserve"> Cabo Flexível 450/750 V BWF Antiflam 25 mm - Azul</t>
  </si>
  <si>
    <t xml:space="preserve">3.35</t>
  </si>
  <si>
    <t xml:space="preserve"> Cabo Flexível  450/750 V BWF Antiflam 35 mm - Verde</t>
  </si>
  <si>
    <t xml:space="preserve">3.36</t>
  </si>
  <si>
    <t xml:space="preserve"> Cabo Flexível  450/750 V BWF Antiflam 70 mm - Preto</t>
  </si>
  <si>
    <t xml:space="preserve">3.37</t>
  </si>
  <si>
    <t xml:space="preserve"> Cabo Flexível  450/750 V BWF Antiflam 70 mm - Azul</t>
  </si>
  <si>
    <t xml:space="preserve">3.38</t>
  </si>
  <si>
    <t xml:space="preserve"> Disjuntor Unipolar de 10A</t>
  </si>
  <si>
    <t xml:space="preserve">3.39</t>
  </si>
  <si>
    <t xml:space="preserve"> Disjuntor Unipolar de 15A</t>
  </si>
  <si>
    <t xml:space="preserve">3.40</t>
  </si>
  <si>
    <t xml:space="preserve"> Disjuntor Unipolar de 20A</t>
  </si>
  <si>
    <t xml:space="preserve">3.41</t>
  </si>
  <si>
    <t xml:space="preserve"> Disjuntor Bipolar de 30A</t>
  </si>
  <si>
    <t xml:space="preserve">3.42</t>
  </si>
  <si>
    <t xml:space="preserve"> Disjuntor Tripolar de 160A</t>
  </si>
  <si>
    <t xml:space="preserve">3.43</t>
  </si>
  <si>
    <t xml:space="preserve"> Disjuntor Tripolar de 125A</t>
  </si>
  <si>
    <t xml:space="preserve">Responsável Técnico</t>
  </si>
  <si>
    <t xml:space="preserve">Nome: Fernando Ferreira Rocha </t>
  </si>
  <si>
    <t xml:space="preserve">Cargo: Engenheiro Civil</t>
  </si>
  <si>
    <t xml:space="preserve">Crea: 77.437/D-MG</t>
  </si>
  <si>
    <t xml:space="preserve">COMPOSIÇÃO DO BDI (Bonificações e Despesas Indiretas)</t>
  </si>
  <si>
    <t xml:space="preserve">OBRA: Reforma e Ampliação Creche Maria Conceição </t>
  </si>
  <si>
    <t xml:space="preserve">REF.:</t>
  </si>
  <si>
    <t xml:space="preserve">LOCAL: MUNICÍPIO DE CARMO DO PARANAÍBA</t>
  </si>
  <si>
    <t xml:space="preserve">DATA:</t>
  </si>
  <si>
    <t xml:space="preserve">1) ADMINISTRAÇÃO CENTRAL - ( 3,00% a 5,50%)</t>
  </si>
  <si>
    <t xml:space="preserve">Adm. Central, Seguros e Garantias, Riscos</t>
  </si>
  <si>
    <t xml:space="preserve">2) SEGUROS E GARANTIAS - ( 0,80% a 1,00%)</t>
  </si>
  <si>
    <t xml:space="preserve">Despesas Financeiras</t>
  </si>
  <si>
    <t xml:space="preserve">Lucro/Remuneração</t>
  </si>
  <si>
    <t xml:space="preserve">Impostos (com desoneração)</t>
  </si>
  <si>
    <t xml:space="preserve">Impostos (sem desoneração)</t>
  </si>
  <si>
    <t xml:space="preserve">3) RISCOS  -  (0,97% a 1,27%)</t>
  </si>
  <si>
    <t xml:space="preserve">4) DESPESAS FINANCEIRAS - ( 0,59% a 1,39%)</t>
  </si>
  <si>
    <t xml:space="preserve">5) LUCRO/REMUNERAÇÃO  - (6,16% a 8,96%)</t>
  </si>
  <si>
    <t xml:space="preserve">6) IMPOSTOS</t>
  </si>
  <si>
    <t xml:space="preserve"> - ISS - Variação de 2% a 5% - Justificado pela Legislação Tributária Municipal com apresentação da base de cálculo da alíquota.</t>
  </si>
  <si>
    <t xml:space="preserve">COFINS=</t>
  </si>
  <si>
    <t xml:space="preserve">PIS=</t>
  </si>
  <si>
    <t xml:space="preserve">ISS=</t>
  </si>
  <si>
    <t xml:space="preserve">CPRB=</t>
  </si>
  <si>
    <t xml:space="preserve">BDI=</t>
  </si>
  <si>
    <t xml:space="preserve">Faixa referencial</t>
  </si>
  <si>
    <t xml:space="preserve">1º Quartil</t>
  </si>
  <si>
    <t xml:space="preserve">Médio</t>
  </si>
  <si>
    <t xml:space="preserve">3º Quartil</t>
  </si>
  <si>
    <t xml:space="preserve">Observação: </t>
  </si>
  <si>
    <r>
      <rPr>
        <i val="true"/>
        <sz val="11"/>
        <rFont val="Arial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Para o tipo de obra </t>
    </r>
    <r>
      <rPr>
        <b val="true"/>
        <i val="true"/>
        <sz val="11"/>
        <rFont val="Arial"/>
        <family val="2"/>
        <charset val="1"/>
      </rPr>
      <t xml:space="preserve">"Construção de Redes de Abastecimento de Água, Coleta de Esgoto de Construções Correlatas"</t>
    </r>
    <r>
      <rPr>
        <i val="true"/>
        <sz val="11"/>
        <rFont val="Arial"/>
        <family val="2"/>
        <charset val="1"/>
      </rPr>
      <t xml:space="preserve">, conforme classificação 4222-7 do CNAE 2.0.   Os parâmetros dos itens que compoem o BDI são referenciais. De acordo com o Acórdão nº 2622/2013, quando a taxa de BDI estiver fora da faixa referencial (sem desoneração - 1º e 3º quartis) a empresa deverá justificar os valores adotados nos itens que compõem essa taxa.                                                                                                                                                                                                               Na composição acima, as empresas cuja </t>
    </r>
    <r>
      <rPr>
        <b val="true"/>
        <i val="true"/>
        <sz val="11"/>
        <rFont val="Arial"/>
        <family val="2"/>
        <charset val="1"/>
      </rPr>
      <t xml:space="preserve">ATIVIDADE PRINCIPAL</t>
    </r>
    <r>
      <rPr>
        <i val="true"/>
        <sz val="11"/>
        <rFont val="Arial"/>
        <family val="2"/>
        <charset val="1"/>
      </rPr>
      <t xml:space="preserve"> (de acordo com a declaração do CNAE) enquadra o objeto da licitação deverão utilizar a taxa do BDI </t>
    </r>
    <r>
      <rPr>
        <b val="true"/>
        <i val="true"/>
        <sz val="11"/>
        <rFont val="Arial"/>
        <family val="2"/>
        <charset val="1"/>
      </rPr>
      <t xml:space="preserve">com desoneração (B). </t>
    </r>
    <r>
      <rPr>
        <i val="true"/>
        <sz val="11"/>
        <rFont val="Arial"/>
        <family val="2"/>
        <charset val="1"/>
      </rPr>
      <t xml:space="preserve">As demais empresas deverão utilizar a taxa do BDI </t>
    </r>
    <r>
      <rPr>
        <b val="true"/>
        <i val="true"/>
        <sz val="11"/>
        <rFont val="Arial"/>
        <family val="2"/>
        <charset val="1"/>
      </rPr>
      <t xml:space="preserve">sem desoneração (A).</t>
    </r>
  </si>
  <si>
    <t xml:space="preserve">PLANILHA ORÇAMENTÁRIA</t>
  </si>
  <si>
    <r>
      <rPr>
        <b val="true"/>
        <sz val="10"/>
        <color rgb="FF000000"/>
        <rFont val="Arial"/>
        <family val="2"/>
        <charset val="1"/>
      </rPr>
      <t xml:space="preserve">Obra:</t>
    </r>
    <r>
      <rPr>
        <sz val="10"/>
        <color rgb="FF000000"/>
        <rFont val="Arial"/>
        <family val="2"/>
        <charset val="1"/>
      </rPr>
      <t xml:space="preserve"> Reforma com Modificação e Ampliação Creche Municipal Maria Conceição França Queiroz </t>
    </r>
  </si>
  <si>
    <r>
      <rPr>
        <b val="true"/>
        <sz val="10"/>
        <color rgb="FF000000"/>
        <rFont val="Arial"/>
        <family val="2"/>
        <charset val="1"/>
      </rPr>
      <t xml:space="preserve">Endereço: </t>
    </r>
    <r>
      <rPr>
        <sz val="10"/>
        <color rgb="FF000000"/>
        <rFont val="Arial"/>
        <family val="2"/>
        <charset val="1"/>
      </rPr>
      <t xml:space="preserve">Rua Gabriel Resende e Silva </t>
    </r>
  </si>
  <si>
    <r>
      <rPr>
        <b val="true"/>
        <sz val="10"/>
        <color rgb="FF000000"/>
        <rFont val="Arial"/>
        <family val="2"/>
        <charset val="1"/>
      </rPr>
      <t xml:space="preserve">Referência:</t>
    </r>
    <r>
      <rPr>
        <sz val="10"/>
        <color rgb="FF000000"/>
        <rFont val="Arial"/>
        <family val="2"/>
        <charset val="1"/>
      </rPr>
      <t xml:space="preserve"> SINAPI: Agosto/2021   -   SETOP: Julho/2021</t>
    </r>
  </si>
  <si>
    <t xml:space="preserve">BDI:        </t>
  </si>
  <si>
    <t xml:space="preserve">Custo Unitário
SEM BDI</t>
  </si>
  <si>
    <t xml:space="preserve">Custo Unitário
COM BDI</t>
  </si>
  <si>
    <t xml:space="preserve">Custo Total</t>
  </si>
  <si>
    <t xml:space="preserve">SUBTOTAL </t>
  </si>
  <si>
    <t xml:space="preserve">,</t>
  </si>
  <si>
    <t xml:space="preserve">TOTAL DA PARTE DA REFORMA </t>
  </si>
  <si>
    <t xml:space="preserve">ALÇAPÃO 80 X 80 CM COM COM QUADRO DE CANTONEIRA
METÁLICA 1"X 1/8", TAMPA EM CANTONEIRA 7/8"X 1/8" E CHAPA
METÁLICA ENRIJECIDA POR PERFIL "T
ALÇAPÃO 80 X 80 CM COM COM QUADRO DE CANTONEIRA
METÁLICA 1"X 1/8", TAMPA EM CANTONEIRA 7/8"X 1/8" E CHAPA
METÁLICA ENRIJECIDA POR PERFIL "T
</t>
  </si>
  <si>
    <t xml:space="preserve">TOTAL DA PARTE DA AMPLIAÇÃO </t>
  </si>
  <si>
    <t xml:space="preserve">TUBO DE LIGAÇÃO DE ÁGUA PARA BACIA SANITÁRIA (VASO), DN
1.1/2", COMPRIMENTO 20CM, INCLUSIVE CANOPLA, SPUD,
FORNECIMENTO E INSTALAÇÃO</t>
  </si>
  <si>
    <t xml:space="preserve">Caixa de inspeção em cimento 
agregado 300x300 mm com tampa em ferro fundido;</t>
  </si>
  <si>
    <t xml:space="preserve">Curva de PVC 90 graus, soldável, 75 mm, para água fria predial (NBR 5648)</t>
  </si>
  <si>
    <t xml:space="preserve">CHUVEIRO COMUM EM PLASTICO BRANCO, COM CANO, 3 TEMPERATURAS, 5500 W (110/220 UN 55,40
V)</t>
  </si>
  <si>
    <t xml:space="preserve">Sinapi</t>
  </si>
  <si>
    <t xml:space="preserve">Extintor de incêndio portátil com carga de pó químico seco (PQS) de 4 KG, classe BC</t>
  </si>
  <si>
    <t xml:space="preserve">TOTAL DA PARTE HIDRO-SANITÁRIO, INCÊNDIO E ELETRICO - PARTE MODIFICADA E AMPLIADA  </t>
  </si>
  <si>
    <t xml:space="preserve">TOTAL GERAL DA OBRA </t>
  </si>
  <si>
    <t xml:space="preserve">CRONOGRAMA FÍSICO-FINANCEIRO</t>
  </si>
  <si>
    <t xml:space="preserve">Descrição de Metas</t>
  </si>
  <si>
    <t xml:space="preserve">Valores 
Totais (R$)</t>
  </si>
  <si>
    <t xml:space="preserve">Início da Obra
</t>
  </si>
  <si>
    <t xml:space="preserve">Mês 1
</t>
  </si>
  <si>
    <t xml:space="preserve">Mês 2
</t>
  </si>
  <si>
    <t xml:space="preserve">Mês 3
</t>
  </si>
  <si>
    <t xml:space="preserve">Mês 4
</t>
  </si>
  <si>
    <t xml:space="preserve">Mês 5
</t>
  </si>
  <si>
    <t xml:space="preserve">Mês 6
</t>
  </si>
  <si>
    <t xml:space="preserve">Mês 7
</t>
  </si>
  <si>
    <t xml:space="preserve">Mês 8</t>
  </si>
  <si>
    <t xml:space="preserve">Total </t>
  </si>
  <si>
    <t xml:space="preserve">Serviços Preliminares</t>
  </si>
  <si>
    <t xml:space="preserve">Fisico %</t>
  </si>
  <si>
    <t xml:space="preserve">Financeiro </t>
  </si>
  <si>
    <t xml:space="preserve">Fundação</t>
  </si>
  <si>
    <t xml:space="preserve">Estruturas</t>
  </si>
  <si>
    <t xml:space="preserve">Cobertura</t>
  </si>
  <si>
    <t xml:space="preserve">Instalação Hidraulica </t>
  </si>
  <si>
    <t xml:space="preserve">Instalações Elétricas</t>
  </si>
  <si>
    <t xml:space="preserve">Esquadrias</t>
  </si>
  <si>
    <t xml:space="preserve">Revestimento</t>
  </si>
  <si>
    <t xml:space="preserve">Pisos</t>
  </si>
  <si>
    <t xml:space="preserve">Divisoria</t>
  </si>
  <si>
    <t xml:space="preserve">TOTAL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</si>
</sst>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.0%"/>
    <numFmt numFmtId="166" formatCode="_(* #,##0.00_);_(* \(#,##0.00\);_(* \-??_);_(@_)"/>
    <numFmt numFmtId="167" formatCode="0.00"/>
    <numFmt numFmtId="168" formatCode="_-&quot;R$ &quot;* #,##0.00_-;&quot;-R$ &quot;* #,##0.00_-;_-&quot;R$ &quot;* \-??_-;_-@_-"/>
    <numFmt numFmtId="169" formatCode="@"/>
    <numFmt numFmtId="170" formatCode="_-[$R$-416]\ * #,##0.00_-;\-[$R$-416]\ * #,##0.00_-;_-[$R$-416]\ * \-??_-;_-@_-"/>
    <numFmt numFmtId="171" formatCode="&quot;R$ &quot;#,##0.00"/>
    <numFmt numFmtId="172" formatCode="#,##0.00"/>
    <numFmt numFmtId="173" formatCode="mmm\-yy;@"/>
    <numFmt numFmtId="174" formatCode="dd/mm/yy;@"/>
    <numFmt numFmtId="175" formatCode="0%"/>
    <numFmt numFmtId="176" formatCode="0.00%"/>
    <numFmt numFmtId="177" formatCode="_-* #,##0.00_-;\-* #,##0.00_-;_-* \-??_-;_-@_-"/>
    <numFmt numFmtId="178" formatCode="_(* #,##0.0000_);_(* \(#,##0.0000\);_(* \-??_);_(@_)"/>
  </numFmts>
  <fonts count="3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color rgb="FF000000"/>
      <name val="Times New Roman"/>
      <family val="0"/>
      <charset val="1"/>
    </font>
    <font>
      <b val="true"/>
      <sz val="11"/>
      <color rgb="FF000000"/>
      <name val="Calibri"/>
      <family val="2"/>
      <charset val="1"/>
    </font>
    <font>
      <b val="true"/>
      <sz val="16"/>
      <name val="Arial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sz val="9"/>
      <name val="Arial"/>
      <family val="2"/>
      <charset val="1"/>
    </font>
    <font>
      <sz val="7.5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3366FF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20"/>
      <name val="Arial"/>
      <family val="2"/>
      <charset val="1"/>
    </font>
    <font>
      <i val="true"/>
      <sz val="11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Times New Roman"/>
      <family val="1"/>
      <charset val="1"/>
    </font>
    <font>
      <sz val="8"/>
      <name val="Calibri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3D69B"/>
        <bgColor rgb="FFFFCC99"/>
      </patternFill>
    </fill>
    <fill>
      <patternFill patternType="solid">
        <fgColor rgb="FFEBF1DE"/>
        <bgColor rgb="FFFFFFFF"/>
      </patternFill>
    </fill>
    <fill>
      <patternFill patternType="solid">
        <fgColor rgb="FFFFFFFF"/>
        <bgColor rgb="FFEBF1DE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4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1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3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14" fillId="3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14" fillId="3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14" fillId="3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14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14" fillId="4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14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4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14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18" fillId="0" borderId="1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2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20" fillId="2" borderId="2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1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4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4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4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4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4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4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0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24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3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2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4" fillId="4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4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4" fillId="4" borderId="1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4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4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4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4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4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4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2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0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4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9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2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9" fillId="3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3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29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9" fillId="3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3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9" fillId="3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9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" xfId="21"/>
    <cellStyle name="Normal 2 3" xfId="22"/>
    <cellStyle name="Normal 3" xfId="23"/>
    <cellStyle name="Normal 3 3" xfId="24"/>
    <cellStyle name="Vírgula 2" xfId="25"/>
    <cellStyle name="Vírgula 3" xfId="2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J267"/>
  <sheetViews>
    <sheetView showFormulas="false" showGridLines="true" showRowColHeaders="true" showZeros="true" rightToLeft="false" tabSelected="false" showOutlineSymbols="true" defaultGridColor="true" view="normal" topLeftCell="A400" colorId="64" zoomScale="100" zoomScaleNormal="100" zoomScalePageLayoutView="100" workbookViewId="0">
      <selection pane="topLeft" activeCell="E49" activeCellId="0" sqref="E49"/>
    </sheetView>
  </sheetViews>
  <sheetFormatPr defaultColWidth="8.6875" defaultRowHeight="15" zeroHeight="false" outlineLevelRow="0" outlineLevelCol="0"/>
  <cols>
    <col collapsed="false" customWidth="true" hidden="false" outlineLevel="0" max="4" min="4" style="0" width="16"/>
    <col collapsed="false" customWidth="true" hidden="false" outlineLevel="0" max="5" min="5" style="0" width="82.15"/>
    <col collapsed="false" customWidth="true" hidden="false" outlineLevel="0" max="7" min="7" style="1" width="34.58"/>
    <col collapsed="false" customWidth="true" hidden="false" outlineLevel="0" max="8" min="8" style="1" width="14.57"/>
  </cols>
  <sheetData>
    <row r="2" customFormat="false" ht="42.6" hidden="false" customHeight="true" outlineLevel="0" collapsed="false">
      <c r="B2" s="2" t="s">
        <v>0</v>
      </c>
      <c r="C2" s="2"/>
      <c r="D2" s="2"/>
      <c r="E2" s="2"/>
      <c r="F2" s="2"/>
      <c r="G2" s="2"/>
      <c r="H2" s="2"/>
    </row>
    <row r="3" customFormat="false" ht="15.75" hidden="false" customHeight="fals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5.75" hidden="false" customHeight="false" outlineLevel="0" collapsed="false">
      <c r="B4" s="3" t="s">
        <v>2</v>
      </c>
      <c r="C4" s="3"/>
      <c r="D4" s="3"/>
      <c r="E4" s="3"/>
      <c r="F4" s="3"/>
      <c r="G4" s="3"/>
      <c r="H4" s="3"/>
    </row>
    <row r="5" customFormat="false" ht="15.75" hidden="false" customHeight="false" outlineLevel="0" collapsed="false">
      <c r="B5" s="3" t="s">
        <v>3</v>
      </c>
      <c r="C5" s="3"/>
      <c r="D5" s="3"/>
      <c r="E5" s="3"/>
      <c r="F5" s="3"/>
      <c r="G5" s="3"/>
      <c r="H5" s="3"/>
    </row>
    <row r="6" customFormat="false" ht="15.75" hidden="false" customHeight="false" outlineLevel="0" collapsed="false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5" t="s">
        <v>9</v>
      </c>
      <c r="H6" s="6" t="s">
        <v>10</v>
      </c>
    </row>
    <row r="7" customFormat="false" ht="15.75" hidden="false" customHeight="false" outlineLevel="0" collapsed="false">
      <c r="B7" s="2" t="s">
        <v>11</v>
      </c>
      <c r="C7" s="2"/>
      <c r="D7" s="2"/>
      <c r="E7" s="2"/>
      <c r="F7" s="2"/>
      <c r="G7" s="2"/>
      <c r="H7" s="2"/>
    </row>
    <row r="8" customFormat="false" ht="15.75" hidden="false" customHeight="false" outlineLevel="0" collapsed="false">
      <c r="B8" s="7" t="n">
        <v>1</v>
      </c>
      <c r="C8" s="7"/>
      <c r="D8" s="7"/>
      <c r="E8" s="8" t="s">
        <v>12</v>
      </c>
      <c r="F8" s="7"/>
      <c r="G8" s="7"/>
      <c r="H8" s="7"/>
    </row>
    <row r="9" customFormat="false" ht="31.5" hidden="false" customHeight="false" outlineLevel="0" collapsed="false">
      <c r="B9" s="9" t="s">
        <v>13</v>
      </c>
      <c r="C9" s="9" t="s">
        <v>14</v>
      </c>
      <c r="D9" s="9" t="s">
        <v>15</v>
      </c>
      <c r="E9" s="10" t="s">
        <v>16</v>
      </c>
      <c r="F9" s="9" t="s">
        <v>17</v>
      </c>
      <c r="G9" s="11" t="s">
        <v>18</v>
      </c>
      <c r="H9" s="11" t="n">
        <v>40.32</v>
      </c>
    </row>
    <row r="10" customFormat="false" ht="31.5" hidden="false" customHeight="false" outlineLevel="0" collapsed="false">
      <c r="B10" s="9" t="s">
        <v>19</v>
      </c>
      <c r="C10" s="9" t="s">
        <v>14</v>
      </c>
      <c r="D10" s="9" t="s">
        <v>20</v>
      </c>
      <c r="E10" s="10" t="s">
        <v>21</v>
      </c>
      <c r="F10" s="9" t="s">
        <v>17</v>
      </c>
      <c r="G10" s="12" t="s">
        <v>22</v>
      </c>
      <c r="H10" s="11" t="n">
        <v>36</v>
      </c>
    </row>
    <row r="11" customFormat="false" ht="31.5" hidden="false" customHeight="false" outlineLevel="0" collapsed="false">
      <c r="B11" s="9" t="s">
        <v>23</v>
      </c>
      <c r="C11" s="9" t="s">
        <v>14</v>
      </c>
      <c r="D11" s="9" t="n">
        <v>97624</v>
      </c>
      <c r="E11" s="13" t="s">
        <v>24</v>
      </c>
      <c r="F11" s="9" t="s">
        <v>25</v>
      </c>
      <c r="G11" s="11" t="s">
        <v>26</v>
      </c>
      <c r="H11" s="11" t="n">
        <f aca="false">51.7*3*0.15</f>
        <v>23.265</v>
      </c>
    </row>
    <row r="12" customFormat="false" ht="15.75" hidden="false" customHeight="false" outlineLevel="0" collapsed="false">
      <c r="B12" s="7" t="n">
        <v>2</v>
      </c>
      <c r="C12" s="7"/>
      <c r="D12" s="7"/>
      <c r="E12" s="8" t="s">
        <v>27</v>
      </c>
      <c r="F12" s="7"/>
      <c r="G12" s="7"/>
      <c r="H12" s="7"/>
    </row>
    <row r="13" customFormat="false" ht="63" hidden="false" customHeight="false" outlineLevel="0" collapsed="false">
      <c r="B13" s="9" t="s">
        <v>28</v>
      </c>
      <c r="C13" s="9" t="s">
        <v>14</v>
      </c>
      <c r="D13" s="9" t="s">
        <v>29</v>
      </c>
      <c r="E13" s="14" t="s">
        <v>30</v>
      </c>
      <c r="F13" s="9" t="s">
        <v>17</v>
      </c>
      <c r="G13" s="12" t="s">
        <v>31</v>
      </c>
      <c r="H13" s="11" t="n">
        <f aca="false">21.25+5.74+10.26+12.15+12.69+25.21+15.71+2.16+25.09</f>
        <v>130.26</v>
      </c>
    </row>
    <row r="14" customFormat="false" ht="15.75" hidden="false" customHeight="false" outlineLevel="0" collapsed="false">
      <c r="B14" s="7" t="n">
        <v>3</v>
      </c>
      <c r="C14" s="7"/>
      <c r="D14" s="7"/>
      <c r="E14" s="8" t="s">
        <v>32</v>
      </c>
      <c r="F14" s="7"/>
      <c r="G14" s="7"/>
      <c r="H14" s="7"/>
    </row>
    <row r="15" customFormat="false" ht="63" hidden="false" customHeight="false" outlineLevel="0" collapsed="false">
      <c r="B15" s="9" t="s">
        <v>33</v>
      </c>
      <c r="C15" s="9" t="s">
        <v>34</v>
      </c>
      <c r="D15" s="9" t="s">
        <v>35</v>
      </c>
      <c r="E15" s="10" t="s">
        <v>36</v>
      </c>
      <c r="F15" s="9" t="s">
        <v>17</v>
      </c>
      <c r="G15" s="15" t="s">
        <v>37</v>
      </c>
      <c r="H15" s="15" t="n">
        <v>7.2</v>
      </c>
    </row>
    <row r="16" customFormat="false" ht="63" hidden="false" customHeight="false" outlineLevel="0" collapsed="false">
      <c r="B16" s="9" t="s">
        <v>38</v>
      </c>
      <c r="C16" s="9" t="s">
        <v>14</v>
      </c>
      <c r="D16" s="9" t="n">
        <v>94573</v>
      </c>
      <c r="E16" s="10" t="s">
        <v>39</v>
      </c>
      <c r="F16" s="9" t="s">
        <v>17</v>
      </c>
      <c r="G16" s="15" t="s">
        <v>40</v>
      </c>
      <c r="H16" s="15" t="n">
        <v>28.8</v>
      </c>
    </row>
    <row r="17" customFormat="false" ht="78.75" hidden="false" customHeight="false" outlineLevel="0" collapsed="false">
      <c r="B17" s="9" t="s">
        <v>41</v>
      </c>
      <c r="C17" s="9" t="s">
        <v>34</v>
      </c>
      <c r="D17" s="9" t="s">
        <v>42</v>
      </c>
      <c r="E17" s="10" t="s">
        <v>43</v>
      </c>
      <c r="F17" s="9" t="s">
        <v>17</v>
      </c>
      <c r="G17" s="15" t="s">
        <v>44</v>
      </c>
      <c r="H17" s="15" t="n">
        <v>8.4</v>
      </c>
    </row>
    <row r="18" customFormat="false" ht="47.25" hidden="false" customHeight="false" outlineLevel="0" collapsed="false">
      <c r="B18" s="9" t="s">
        <v>45</v>
      </c>
      <c r="C18" s="9" t="s">
        <v>14</v>
      </c>
      <c r="D18" s="9" t="n">
        <v>91338</v>
      </c>
      <c r="E18" s="10" t="s">
        <v>46</v>
      </c>
      <c r="F18" s="9" t="s">
        <v>17</v>
      </c>
      <c r="G18" s="15" t="s">
        <v>44</v>
      </c>
      <c r="H18" s="15" t="n">
        <v>8.4</v>
      </c>
    </row>
    <row r="19" customFormat="false" ht="47.25" hidden="false" customHeight="false" outlineLevel="0" collapsed="false">
      <c r="B19" s="9" t="s">
        <v>47</v>
      </c>
      <c r="C19" s="9" t="s">
        <v>14</v>
      </c>
      <c r="D19" s="9" t="n">
        <v>100702</v>
      </c>
      <c r="E19" s="10" t="s">
        <v>48</v>
      </c>
      <c r="F19" s="9" t="s">
        <v>17</v>
      </c>
      <c r="G19" s="15" t="s">
        <v>49</v>
      </c>
      <c r="H19" s="15" t="n">
        <v>3.15</v>
      </c>
    </row>
    <row r="20" customFormat="false" ht="47.25" hidden="false" customHeight="false" outlineLevel="0" collapsed="false">
      <c r="B20" s="9" t="s">
        <v>50</v>
      </c>
      <c r="C20" s="9" t="s">
        <v>14</v>
      </c>
      <c r="D20" s="9" t="n">
        <v>94805</v>
      </c>
      <c r="E20" s="10" t="s">
        <v>51</v>
      </c>
      <c r="F20" s="9" t="s">
        <v>17</v>
      </c>
      <c r="G20" s="15" t="s">
        <v>52</v>
      </c>
      <c r="H20" s="15" t="n">
        <v>15.12</v>
      </c>
    </row>
    <row r="21" customFormat="false" ht="15.75" hidden="false" customHeight="false" outlineLevel="0" collapsed="false">
      <c r="B21" s="7" t="n">
        <v>4</v>
      </c>
      <c r="C21" s="7"/>
      <c r="D21" s="7"/>
      <c r="E21" s="8" t="s">
        <v>53</v>
      </c>
      <c r="F21" s="7"/>
      <c r="G21" s="7"/>
      <c r="H21" s="7"/>
    </row>
    <row r="22" customFormat="false" ht="78.75" hidden="false" customHeight="false" outlineLevel="0" collapsed="false">
      <c r="A22" s="16"/>
      <c r="B22" s="9" t="s">
        <v>54</v>
      </c>
      <c r="C22" s="9" t="s">
        <v>14</v>
      </c>
      <c r="D22" s="9" t="s">
        <v>55</v>
      </c>
      <c r="E22" s="10" t="s">
        <v>56</v>
      </c>
      <c r="F22" s="9" t="s">
        <v>25</v>
      </c>
      <c r="G22" s="12" t="s">
        <v>57</v>
      </c>
      <c r="H22" s="11" t="n">
        <f aca="false">(((1.78*0.65*0.6)+(1.4*0.8*0.2)+(1.1*0.8*0.2)+(0.8*0.8*0.2))*2)+(1.5*0.65*0.6)+(1.4*0.8*0.2)+(1.1*0.8*0.2)+(0.8*0.8*0.2)</f>
        <v>3.5574</v>
      </c>
    </row>
    <row r="23" customFormat="false" ht="15.75" hidden="false" customHeight="false" outlineLevel="0" collapsed="false">
      <c r="B23" s="7" t="n">
        <v>5</v>
      </c>
      <c r="C23" s="7"/>
      <c r="D23" s="7"/>
      <c r="E23" s="8" t="s">
        <v>58</v>
      </c>
      <c r="F23" s="7"/>
      <c r="G23" s="7"/>
      <c r="H23" s="7"/>
    </row>
    <row r="24" customFormat="false" ht="47.25" hidden="false" customHeight="false" outlineLevel="0" collapsed="false">
      <c r="B24" s="9" t="s">
        <v>59</v>
      </c>
      <c r="C24" s="9" t="s">
        <v>14</v>
      </c>
      <c r="D24" s="9" t="s">
        <v>60</v>
      </c>
      <c r="E24" s="10" t="s">
        <v>61</v>
      </c>
      <c r="F24" s="9" t="s">
        <v>17</v>
      </c>
      <c r="G24" s="11" t="s">
        <v>62</v>
      </c>
      <c r="H24" s="11" t="n">
        <f aca="false">2*130.26</f>
        <v>260.52</v>
      </c>
    </row>
    <row r="25" customFormat="false" ht="78.75" hidden="false" customHeight="false" outlineLevel="0" collapsed="false">
      <c r="B25" s="9" t="s">
        <v>63</v>
      </c>
      <c r="C25" s="9" t="s">
        <v>14</v>
      </c>
      <c r="D25" s="9" t="s">
        <v>64</v>
      </c>
      <c r="E25" s="10" t="s">
        <v>65</v>
      </c>
      <c r="F25" s="9" t="s">
        <v>17</v>
      </c>
      <c r="G25" s="11" t="s">
        <v>66</v>
      </c>
      <c r="H25" s="11" t="n">
        <f aca="false">20.8+11.41+79.52+44.36</f>
        <v>156.09</v>
      </c>
    </row>
    <row r="26" customFormat="false" ht="63" hidden="false" customHeight="false" outlineLevel="0" collapsed="false">
      <c r="B26" s="9" t="s">
        <v>67</v>
      </c>
      <c r="C26" s="9" t="s">
        <v>14</v>
      </c>
      <c r="D26" s="9" t="s">
        <v>68</v>
      </c>
      <c r="E26" s="10" t="s">
        <v>69</v>
      </c>
      <c r="F26" s="9" t="s">
        <v>17</v>
      </c>
      <c r="G26" s="12" t="s">
        <v>70</v>
      </c>
      <c r="H26" s="11" t="n">
        <v>271.5</v>
      </c>
    </row>
    <row r="27" customFormat="false" ht="63" hidden="false" customHeight="false" outlineLevel="0" collapsed="false">
      <c r="B27" s="9" t="s">
        <v>71</v>
      </c>
      <c r="C27" s="9" t="s">
        <v>14</v>
      </c>
      <c r="D27" s="9" t="s">
        <v>72</v>
      </c>
      <c r="E27" s="10" t="s">
        <v>73</v>
      </c>
      <c r="F27" s="9" t="s">
        <v>17</v>
      </c>
      <c r="G27" s="11" t="s">
        <v>74</v>
      </c>
      <c r="H27" s="11" t="n">
        <f aca="false">260.52-156</f>
        <v>104.52</v>
      </c>
    </row>
    <row r="28" customFormat="false" ht="15.75" hidden="false" customHeight="false" outlineLevel="0" collapsed="false">
      <c r="B28" s="7" t="n">
        <v>6</v>
      </c>
      <c r="C28" s="7"/>
      <c r="D28" s="7"/>
      <c r="E28" s="8" t="s">
        <v>75</v>
      </c>
      <c r="F28" s="7"/>
      <c r="G28" s="7"/>
      <c r="H28" s="7"/>
    </row>
    <row r="29" customFormat="false" ht="47.25" hidden="false" customHeight="false" outlineLevel="0" collapsed="false">
      <c r="B29" s="17" t="s">
        <v>76</v>
      </c>
      <c r="C29" s="9" t="s">
        <v>14</v>
      </c>
      <c r="D29" s="9" t="s">
        <v>77</v>
      </c>
      <c r="E29" s="10" t="s">
        <v>78</v>
      </c>
      <c r="F29" s="9" t="s">
        <v>17</v>
      </c>
      <c r="G29" s="12" t="s">
        <v>79</v>
      </c>
      <c r="H29" s="11" t="n">
        <f aca="false">(1.78*0.65*0.07*2)+(1.5*0.65*0.07)+(1.4*0.8*0.07*3)</f>
        <v>0.46543</v>
      </c>
    </row>
    <row r="30" customFormat="false" ht="47.25" hidden="false" customHeight="false" outlineLevel="0" collapsed="false">
      <c r="B30" s="17" t="s">
        <v>80</v>
      </c>
      <c r="C30" s="9" t="s">
        <v>34</v>
      </c>
      <c r="D30" s="9" t="s">
        <v>81</v>
      </c>
      <c r="E30" s="14" t="s">
        <v>82</v>
      </c>
      <c r="F30" s="9" t="s">
        <v>17</v>
      </c>
      <c r="G30" s="11" t="s">
        <v>83</v>
      </c>
      <c r="H30" s="11" t="n">
        <f aca="false">4.4+4.4+380+6.65</f>
        <v>395.45</v>
      </c>
    </row>
    <row r="31" customFormat="false" ht="15.75" hidden="false" customHeight="false" outlineLevel="0" collapsed="false">
      <c r="B31" s="7" t="n">
        <v>7</v>
      </c>
      <c r="C31" s="7"/>
      <c r="D31" s="7"/>
      <c r="E31" s="8" t="s">
        <v>84</v>
      </c>
      <c r="F31" s="7"/>
      <c r="G31" s="7"/>
      <c r="H31" s="7"/>
    </row>
    <row r="32" customFormat="false" ht="31.5" hidden="false" customHeight="false" outlineLevel="0" collapsed="false">
      <c r="B32" s="17" t="s">
        <v>85</v>
      </c>
      <c r="C32" s="9" t="s">
        <v>34</v>
      </c>
      <c r="D32" s="9" t="s">
        <v>86</v>
      </c>
      <c r="E32" s="10" t="s">
        <v>87</v>
      </c>
      <c r="F32" s="9" t="s">
        <v>17</v>
      </c>
      <c r="G32" s="11" t="s">
        <v>88</v>
      </c>
      <c r="H32" s="11" t="n">
        <f aca="false">146.08+95.38</f>
        <v>241.46</v>
      </c>
    </row>
    <row r="33" customFormat="false" ht="31.5" hidden="false" customHeight="false" outlineLevel="0" collapsed="false">
      <c r="B33" s="17" t="s">
        <v>89</v>
      </c>
      <c r="C33" s="9" t="s">
        <v>14</v>
      </c>
      <c r="D33" s="9" t="n">
        <v>88489</v>
      </c>
      <c r="E33" s="10" t="s">
        <v>90</v>
      </c>
      <c r="F33" s="9" t="s">
        <v>17</v>
      </c>
      <c r="G33" s="11" t="s">
        <v>91</v>
      </c>
      <c r="H33" s="11" t="n">
        <v>789.68</v>
      </c>
    </row>
    <row r="34" customFormat="false" ht="63" hidden="false" customHeight="false" outlineLevel="0" collapsed="false">
      <c r="B34" s="17" t="s">
        <v>92</v>
      </c>
      <c r="C34" s="9" t="s">
        <v>14</v>
      </c>
      <c r="D34" s="9" t="n">
        <v>100758</v>
      </c>
      <c r="E34" s="10" t="s">
        <v>93</v>
      </c>
      <c r="F34" s="9" t="s">
        <v>17</v>
      </c>
      <c r="G34" s="12" t="s">
        <v>94</v>
      </c>
      <c r="H34" s="11" t="n">
        <v>16.8</v>
      </c>
    </row>
    <row r="35" customFormat="false" ht="15.75" hidden="false" customHeight="false" outlineLevel="0" collapsed="false">
      <c r="B35" s="7" t="n">
        <v>8</v>
      </c>
      <c r="C35" s="7"/>
      <c r="D35" s="7"/>
      <c r="E35" s="8" t="s">
        <v>95</v>
      </c>
      <c r="F35" s="7"/>
      <c r="G35" s="7"/>
      <c r="H35" s="7"/>
    </row>
    <row r="36" customFormat="false" ht="31.5" hidden="false" customHeight="false" outlineLevel="0" collapsed="false">
      <c r="B36" s="17" t="s">
        <v>96</v>
      </c>
      <c r="C36" s="9" t="s">
        <v>34</v>
      </c>
      <c r="D36" s="9" t="s">
        <v>97</v>
      </c>
      <c r="E36" s="14" t="s">
        <v>98</v>
      </c>
      <c r="F36" s="9" t="s">
        <v>17</v>
      </c>
      <c r="G36" s="11" t="s">
        <v>99</v>
      </c>
      <c r="H36" s="11" t="n">
        <v>9.3</v>
      </c>
    </row>
    <row r="37" customFormat="false" ht="31.5" hidden="false" customHeight="false" outlineLevel="0" collapsed="false">
      <c r="B37" s="17" t="s">
        <v>100</v>
      </c>
      <c r="C37" s="9" t="s">
        <v>101</v>
      </c>
      <c r="D37" s="9" t="n">
        <v>4917</v>
      </c>
      <c r="E37" s="14" t="s">
        <v>102</v>
      </c>
      <c r="F37" s="9" t="s">
        <v>17</v>
      </c>
      <c r="G37" s="11" t="s">
        <v>103</v>
      </c>
      <c r="H37" s="11" t="n">
        <v>4.32</v>
      </c>
    </row>
    <row r="38" customFormat="false" ht="15.75" hidden="false" customHeight="false" outlineLevel="0" collapsed="false">
      <c r="B38" s="7" t="n">
        <v>9</v>
      </c>
      <c r="C38" s="7"/>
      <c r="D38" s="7"/>
      <c r="E38" s="8" t="s">
        <v>104</v>
      </c>
      <c r="F38" s="7"/>
      <c r="G38" s="7"/>
      <c r="H38" s="7"/>
    </row>
    <row r="39" customFormat="false" ht="31.5" hidden="false" customHeight="false" outlineLevel="0" collapsed="false">
      <c r="B39" s="17" t="s">
        <v>105</v>
      </c>
      <c r="C39" s="9" t="s">
        <v>14</v>
      </c>
      <c r="D39" s="9" t="s">
        <v>106</v>
      </c>
      <c r="E39" s="10" t="s">
        <v>107</v>
      </c>
      <c r="F39" s="9" t="s">
        <v>17</v>
      </c>
      <c r="G39" s="12" t="s">
        <v>108</v>
      </c>
      <c r="H39" s="11" t="n">
        <f aca="false">(15.15*22.15)+(12.13*4.65)+(3.5*6.13)</f>
        <v>413.432</v>
      </c>
    </row>
    <row r="40" customFormat="false" ht="15.75" hidden="false" customHeight="false" outlineLevel="0" collapsed="false">
      <c r="B40" s="18"/>
      <c r="C40" s="18"/>
      <c r="D40" s="18"/>
      <c r="E40" s="18"/>
      <c r="F40" s="18"/>
      <c r="G40" s="18"/>
      <c r="H40" s="18"/>
    </row>
    <row r="41" customFormat="false" ht="15.75" hidden="false" customHeight="false" outlineLevel="0" collapsed="false">
      <c r="B41" s="2" t="s">
        <v>109</v>
      </c>
      <c r="C41" s="2"/>
      <c r="D41" s="2"/>
      <c r="E41" s="2"/>
      <c r="F41" s="2"/>
      <c r="G41" s="2"/>
      <c r="H41" s="2"/>
    </row>
    <row r="42" customFormat="false" ht="15.75" hidden="false" customHeight="false" outlineLevel="0" collapsed="false">
      <c r="B42" s="7" t="n">
        <v>1</v>
      </c>
      <c r="C42" s="7"/>
      <c r="D42" s="7"/>
      <c r="E42" s="8" t="s">
        <v>12</v>
      </c>
      <c r="F42" s="7"/>
      <c r="G42" s="7"/>
      <c r="H42" s="7"/>
    </row>
    <row r="43" customFormat="false" ht="31.5" hidden="false" customHeight="false" outlineLevel="0" collapsed="false">
      <c r="B43" s="17" t="s">
        <v>13</v>
      </c>
      <c r="C43" s="9" t="s">
        <v>14</v>
      </c>
      <c r="D43" s="9" t="n">
        <v>98524</v>
      </c>
      <c r="E43" s="19" t="s">
        <v>110</v>
      </c>
      <c r="F43" s="20" t="s">
        <v>17</v>
      </c>
      <c r="G43" s="21" t="s">
        <v>111</v>
      </c>
      <c r="H43" s="11" t="n">
        <f aca="false">612+178-78</f>
        <v>712</v>
      </c>
    </row>
    <row r="44" customFormat="false" ht="47.25" hidden="false" customHeight="false" outlineLevel="0" collapsed="false">
      <c r="B44" s="17" t="s">
        <v>19</v>
      </c>
      <c r="C44" s="9" t="s">
        <v>14</v>
      </c>
      <c r="D44" s="9" t="n">
        <v>99059</v>
      </c>
      <c r="E44" s="14" t="s">
        <v>112</v>
      </c>
      <c r="F44" s="9" t="s">
        <v>113</v>
      </c>
      <c r="G44" s="22" t="n">
        <v>97.2</v>
      </c>
      <c r="H44" s="11" t="n">
        <v>97.2</v>
      </c>
    </row>
    <row r="45" customFormat="false" ht="15.75" hidden="false" customHeight="false" outlineLevel="0" collapsed="false">
      <c r="B45" s="7" t="n">
        <v>2</v>
      </c>
      <c r="C45" s="7"/>
      <c r="D45" s="7"/>
      <c r="E45" s="8" t="s">
        <v>114</v>
      </c>
      <c r="F45" s="7"/>
      <c r="G45" s="7"/>
      <c r="H45" s="7"/>
    </row>
    <row r="46" customFormat="false" ht="47.25" hidden="false" customHeight="false" outlineLevel="0" collapsed="false">
      <c r="B46" s="17" t="s">
        <v>28</v>
      </c>
      <c r="C46" s="9" t="s">
        <v>14</v>
      </c>
      <c r="D46" s="9" t="n">
        <v>100899</v>
      </c>
      <c r="E46" s="10" t="s">
        <v>115</v>
      </c>
      <c r="F46" s="9" t="s">
        <v>113</v>
      </c>
      <c r="G46" s="11" t="s">
        <v>116</v>
      </c>
      <c r="H46" s="11" t="n">
        <f aca="false">(27+74)*4</f>
        <v>404</v>
      </c>
    </row>
    <row r="47" customFormat="false" ht="31.5" hidden="false" customHeight="false" outlineLevel="0" collapsed="false">
      <c r="B47" s="17" t="s">
        <v>117</v>
      </c>
      <c r="C47" s="9" t="s">
        <v>14</v>
      </c>
      <c r="D47" s="9" t="n">
        <v>92791</v>
      </c>
      <c r="E47" s="14" t="s">
        <v>118</v>
      </c>
      <c r="F47" s="9" t="s">
        <v>119</v>
      </c>
      <c r="G47" s="11" t="s">
        <v>120</v>
      </c>
      <c r="H47" s="11" t="n">
        <f aca="false">17*0.9*0.154*101</f>
        <v>237.9762</v>
      </c>
    </row>
    <row r="48" customFormat="false" ht="31.5" hidden="false" customHeight="false" outlineLevel="0" collapsed="false">
      <c r="B48" s="17" t="s">
        <v>121</v>
      </c>
      <c r="C48" s="9" t="s">
        <v>14</v>
      </c>
      <c r="D48" s="9" t="n">
        <v>92793</v>
      </c>
      <c r="E48" s="14" t="s">
        <v>122</v>
      </c>
      <c r="F48" s="9" t="s">
        <v>119</v>
      </c>
      <c r="G48" s="11" t="s">
        <v>123</v>
      </c>
      <c r="H48" s="11" t="n">
        <f aca="false">5*3*0.39*101</f>
        <v>590.85</v>
      </c>
    </row>
    <row r="49" customFormat="false" ht="31.5" hidden="false" customHeight="false" outlineLevel="0" collapsed="false">
      <c r="B49" s="17" t="s">
        <v>124</v>
      </c>
      <c r="C49" s="9" t="s">
        <v>14</v>
      </c>
      <c r="D49" s="9" t="s">
        <v>125</v>
      </c>
      <c r="E49" s="14" t="s">
        <v>126</v>
      </c>
      <c r="F49" s="9" t="s">
        <v>25</v>
      </c>
      <c r="G49" s="11" t="n">
        <v>19.84</v>
      </c>
      <c r="H49" s="11" t="n">
        <v>19.84</v>
      </c>
    </row>
    <row r="50" customFormat="false" ht="15.75" hidden="false" customHeight="false" outlineLevel="0" collapsed="false">
      <c r="B50" s="7" t="n">
        <v>3</v>
      </c>
      <c r="C50" s="7"/>
      <c r="D50" s="7"/>
      <c r="E50" s="8" t="s">
        <v>127</v>
      </c>
      <c r="F50" s="7"/>
      <c r="G50" s="7"/>
      <c r="H50" s="7"/>
    </row>
    <row r="51" customFormat="false" ht="31.5" hidden="false" customHeight="false" outlineLevel="0" collapsed="false">
      <c r="B51" s="17" t="s">
        <v>33</v>
      </c>
      <c r="C51" s="9" t="s">
        <v>14</v>
      </c>
      <c r="D51" s="9" t="n">
        <v>96523</v>
      </c>
      <c r="E51" s="10" t="s">
        <v>128</v>
      </c>
      <c r="F51" s="9" t="s">
        <v>25</v>
      </c>
      <c r="G51" s="11" t="s">
        <v>129</v>
      </c>
      <c r="H51" s="11" t="n">
        <f aca="false">0.55*0.55*0.65*85</f>
        <v>16.713125</v>
      </c>
    </row>
    <row r="52" customFormat="false" ht="31.5" hidden="false" customHeight="false" outlineLevel="0" collapsed="false">
      <c r="B52" s="17" t="s">
        <v>38</v>
      </c>
      <c r="C52" s="9" t="s">
        <v>14</v>
      </c>
      <c r="D52" s="9" t="n">
        <v>96616</v>
      </c>
      <c r="E52" s="10" t="s">
        <v>130</v>
      </c>
      <c r="F52" s="9" t="s">
        <v>25</v>
      </c>
      <c r="G52" s="11" t="s">
        <v>131</v>
      </c>
      <c r="H52" s="11" t="n">
        <f aca="false">0.55*0.55*0.05*85</f>
        <v>1.285625</v>
      </c>
    </row>
    <row r="53" customFormat="false" ht="31.5" hidden="false" customHeight="false" outlineLevel="0" collapsed="false">
      <c r="B53" s="17" t="s">
        <v>41</v>
      </c>
      <c r="C53" s="9" t="s">
        <v>101</v>
      </c>
      <c r="D53" s="9" t="n">
        <v>1355</v>
      </c>
      <c r="E53" s="10" t="s">
        <v>132</v>
      </c>
      <c r="F53" s="9" t="s">
        <v>17</v>
      </c>
      <c r="G53" s="11" t="s">
        <v>133</v>
      </c>
      <c r="H53" s="11" t="n">
        <f aca="false">0.5*0.6*4*85</f>
        <v>102</v>
      </c>
    </row>
    <row r="54" customFormat="false" ht="31.5" hidden="false" customHeight="false" outlineLevel="0" collapsed="false">
      <c r="B54" s="17" t="s">
        <v>45</v>
      </c>
      <c r="C54" s="9" t="s">
        <v>14</v>
      </c>
      <c r="D54" s="23" t="s">
        <v>134</v>
      </c>
      <c r="E54" s="24" t="s">
        <v>135</v>
      </c>
      <c r="F54" s="9" t="s">
        <v>119</v>
      </c>
      <c r="G54" s="11" t="n">
        <v>584</v>
      </c>
      <c r="H54" s="11" t="n">
        <v>584</v>
      </c>
    </row>
    <row r="55" customFormat="false" ht="31.5" hidden="false" customHeight="false" outlineLevel="0" collapsed="false">
      <c r="B55" s="17" t="s">
        <v>47</v>
      </c>
      <c r="C55" s="9" t="s">
        <v>14</v>
      </c>
      <c r="D55" s="9" t="s">
        <v>136</v>
      </c>
      <c r="E55" s="14" t="s">
        <v>137</v>
      </c>
      <c r="F55" s="9" t="s">
        <v>25</v>
      </c>
      <c r="G55" s="11" t="s">
        <v>138</v>
      </c>
      <c r="H55" s="11" t="n">
        <f aca="false">0.5*0.5*0.6*85</f>
        <v>12.75</v>
      </c>
    </row>
    <row r="56" customFormat="false" ht="31.5" hidden="false" customHeight="false" outlineLevel="0" collapsed="false">
      <c r="B56" s="17" t="s">
        <v>50</v>
      </c>
      <c r="C56" s="9" t="s">
        <v>101</v>
      </c>
      <c r="D56" s="9" t="n">
        <v>2692</v>
      </c>
      <c r="E56" s="14" t="s">
        <v>139</v>
      </c>
      <c r="F56" s="9" t="s">
        <v>140</v>
      </c>
      <c r="G56" s="11" t="n">
        <v>66</v>
      </c>
      <c r="H56" s="11" t="n">
        <v>66</v>
      </c>
    </row>
    <row r="57" customFormat="false" ht="31.5" hidden="false" customHeight="false" outlineLevel="0" collapsed="false">
      <c r="B57" s="17" t="s">
        <v>141</v>
      </c>
      <c r="C57" s="9" t="s">
        <v>14</v>
      </c>
      <c r="D57" s="9" t="s">
        <v>55</v>
      </c>
      <c r="E57" s="10" t="s">
        <v>56</v>
      </c>
      <c r="F57" s="9" t="s">
        <v>25</v>
      </c>
      <c r="G57" s="12" t="s">
        <v>142</v>
      </c>
      <c r="H57" s="11" t="n">
        <f aca="false">((0.025*0.6*0.55*2)+(0.025*0.6*0.5*2))*85</f>
        <v>2.6775</v>
      </c>
    </row>
    <row r="58" customFormat="false" ht="15.75" hidden="false" customHeight="false" outlineLevel="0" collapsed="false">
      <c r="B58" s="7" t="n">
        <v>4</v>
      </c>
      <c r="C58" s="7"/>
      <c r="D58" s="7"/>
      <c r="E58" s="8" t="s">
        <v>143</v>
      </c>
      <c r="F58" s="7"/>
      <c r="G58" s="7"/>
      <c r="H58" s="7"/>
    </row>
    <row r="59" customFormat="false" ht="31.5" hidden="false" customHeight="false" outlineLevel="0" collapsed="false">
      <c r="B59" s="17" t="s">
        <v>54</v>
      </c>
      <c r="C59" s="9" t="s">
        <v>14</v>
      </c>
      <c r="D59" s="9" t="s">
        <v>144</v>
      </c>
      <c r="E59" s="14" t="s">
        <v>145</v>
      </c>
      <c r="F59" s="9" t="s">
        <v>25</v>
      </c>
      <c r="G59" s="11" t="s">
        <v>146</v>
      </c>
      <c r="H59" s="11" t="n">
        <f aca="false">3.22+4.43+4.65+2.14</f>
        <v>14.44</v>
      </c>
    </row>
    <row r="60" customFormat="false" ht="47.25" hidden="false" customHeight="false" outlineLevel="0" collapsed="false">
      <c r="B60" s="17" t="s">
        <v>147</v>
      </c>
      <c r="C60" s="9" t="s">
        <v>14</v>
      </c>
      <c r="D60" s="9" t="n">
        <v>94968</v>
      </c>
      <c r="E60" s="10" t="s">
        <v>148</v>
      </c>
      <c r="F60" s="9" t="s">
        <v>25</v>
      </c>
      <c r="G60" s="11" t="s">
        <v>149</v>
      </c>
      <c r="H60" s="11" t="n">
        <v>2.46</v>
      </c>
    </row>
    <row r="61" customFormat="false" ht="31.5" hidden="false" customHeight="false" outlineLevel="0" collapsed="false">
      <c r="B61" s="17" t="s">
        <v>150</v>
      </c>
      <c r="C61" s="9" t="s">
        <v>101</v>
      </c>
      <c r="D61" s="9" t="n">
        <v>1355</v>
      </c>
      <c r="E61" s="14" t="s">
        <v>132</v>
      </c>
      <c r="F61" s="9" t="s">
        <v>17</v>
      </c>
      <c r="G61" s="11" t="s">
        <v>151</v>
      </c>
      <c r="H61" s="11" t="n">
        <f aca="false">46.27+73.8+76.35+35.62</f>
        <v>232.04</v>
      </c>
    </row>
    <row r="62" customFormat="false" ht="31.5" hidden="false" customHeight="false" outlineLevel="0" collapsed="false">
      <c r="B62" s="17" t="s">
        <v>152</v>
      </c>
      <c r="C62" s="9" t="s">
        <v>14</v>
      </c>
      <c r="D62" s="9" t="s">
        <v>153</v>
      </c>
      <c r="E62" s="14" t="s">
        <v>154</v>
      </c>
      <c r="F62" s="9" t="s">
        <v>119</v>
      </c>
      <c r="G62" s="11" t="n">
        <v>293.2</v>
      </c>
      <c r="H62" s="11" t="n">
        <f aca="false">G62</f>
        <v>293.2</v>
      </c>
    </row>
    <row r="63" customFormat="false" ht="31.5" hidden="false" customHeight="false" outlineLevel="0" collapsed="false">
      <c r="B63" s="17" t="s">
        <v>155</v>
      </c>
      <c r="C63" s="9" t="s">
        <v>14</v>
      </c>
      <c r="D63" s="9" t="s">
        <v>156</v>
      </c>
      <c r="E63" s="13" t="s">
        <v>122</v>
      </c>
      <c r="F63" s="9" t="s">
        <v>119</v>
      </c>
      <c r="G63" s="11" t="n">
        <v>364.07</v>
      </c>
      <c r="H63" s="11" t="n">
        <f aca="false">G63</f>
        <v>364.07</v>
      </c>
    </row>
    <row r="64" customFormat="false" ht="31.5" hidden="false" customHeight="false" outlineLevel="0" collapsed="false">
      <c r="B64" s="17" t="s">
        <v>157</v>
      </c>
      <c r="C64" s="9" t="s">
        <v>14</v>
      </c>
      <c r="D64" s="9" t="s">
        <v>158</v>
      </c>
      <c r="E64" s="14" t="s">
        <v>159</v>
      </c>
      <c r="F64" s="9" t="s">
        <v>119</v>
      </c>
      <c r="G64" s="11" t="n">
        <v>141.31</v>
      </c>
      <c r="H64" s="11" t="n">
        <f aca="false">G64</f>
        <v>141.31</v>
      </c>
    </row>
    <row r="65" customFormat="false" ht="31.5" hidden="false" customHeight="false" outlineLevel="0" collapsed="false">
      <c r="B65" s="17" t="s">
        <v>160</v>
      </c>
      <c r="C65" s="9" t="s">
        <v>14</v>
      </c>
      <c r="D65" s="9" t="s">
        <v>161</v>
      </c>
      <c r="E65" s="13" t="s">
        <v>162</v>
      </c>
      <c r="F65" s="9" t="s">
        <v>119</v>
      </c>
      <c r="G65" s="11" t="n">
        <v>106.76</v>
      </c>
      <c r="H65" s="11" t="n">
        <f aca="false">G65</f>
        <v>106.76</v>
      </c>
    </row>
    <row r="66" customFormat="false" ht="31.5" hidden="false" customHeight="false" outlineLevel="0" collapsed="false">
      <c r="B66" s="17" t="s">
        <v>163</v>
      </c>
      <c r="C66" s="9" t="s">
        <v>14</v>
      </c>
      <c r="D66" s="9" t="s">
        <v>136</v>
      </c>
      <c r="E66" s="14" t="s">
        <v>137</v>
      </c>
      <c r="F66" s="9" t="s">
        <v>25</v>
      </c>
      <c r="G66" s="11" t="n">
        <v>11.98</v>
      </c>
      <c r="H66" s="11" t="n">
        <f aca="false">G66</f>
        <v>11.98</v>
      </c>
    </row>
    <row r="67" customFormat="false" ht="31.5" hidden="false" customHeight="false" outlineLevel="0" collapsed="false">
      <c r="B67" s="17" t="s">
        <v>164</v>
      </c>
      <c r="C67" s="9" t="s">
        <v>101</v>
      </c>
      <c r="D67" s="9" t="n">
        <v>2692</v>
      </c>
      <c r="E67" s="14" t="s">
        <v>139</v>
      </c>
      <c r="F67" s="9" t="s">
        <v>140</v>
      </c>
      <c r="G67" s="11" t="n">
        <v>60</v>
      </c>
      <c r="H67" s="11" t="n">
        <f aca="false">G67</f>
        <v>60</v>
      </c>
    </row>
    <row r="68" customFormat="false" ht="31.5" hidden="false" customHeight="false" outlineLevel="0" collapsed="false">
      <c r="B68" s="17" t="s">
        <v>165</v>
      </c>
      <c r="C68" s="9" t="s">
        <v>14</v>
      </c>
      <c r="D68" s="9" t="s">
        <v>55</v>
      </c>
      <c r="E68" s="10" t="s">
        <v>56</v>
      </c>
      <c r="F68" s="9" t="s">
        <v>25</v>
      </c>
      <c r="G68" s="11" t="s">
        <v>149</v>
      </c>
      <c r="H68" s="11" t="n">
        <f aca="false">14.44-11.98</f>
        <v>2.46</v>
      </c>
    </row>
    <row r="69" customFormat="false" ht="15.75" hidden="false" customHeight="false" outlineLevel="0" collapsed="false">
      <c r="B69" s="7" t="n">
        <v>5</v>
      </c>
      <c r="C69" s="7"/>
      <c r="D69" s="7"/>
      <c r="E69" s="8" t="s">
        <v>166</v>
      </c>
      <c r="F69" s="7"/>
      <c r="G69" s="7"/>
      <c r="H69" s="7"/>
    </row>
    <row r="70" customFormat="false" ht="63" hidden="false" customHeight="false" outlineLevel="0" collapsed="false">
      <c r="B70" s="17" t="s">
        <v>59</v>
      </c>
      <c r="C70" s="9" t="s">
        <v>14</v>
      </c>
      <c r="D70" s="9" t="s">
        <v>29</v>
      </c>
      <c r="E70" s="14" t="s">
        <v>30</v>
      </c>
      <c r="F70" s="9" t="s">
        <v>17</v>
      </c>
      <c r="G70" s="11" t="s">
        <v>167</v>
      </c>
      <c r="H70" s="11" t="n">
        <f aca="false">316.95+319.03+90.51+67.67-97.74</f>
        <v>696.42</v>
      </c>
    </row>
    <row r="71" customFormat="false" ht="15.75" hidden="false" customHeight="false" outlineLevel="0" collapsed="false">
      <c r="B71" s="7" t="n">
        <v>6</v>
      </c>
      <c r="C71" s="7"/>
      <c r="D71" s="7"/>
      <c r="E71" s="8" t="s">
        <v>168</v>
      </c>
      <c r="F71" s="7"/>
      <c r="G71" s="7"/>
      <c r="H71" s="7"/>
    </row>
    <row r="72" customFormat="false" ht="31.5" hidden="false" customHeight="false" outlineLevel="0" collapsed="false">
      <c r="B72" s="17" t="s">
        <v>76</v>
      </c>
      <c r="C72" s="9" t="s">
        <v>101</v>
      </c>
      <c r="D72" s="9" t="n">
        <v>1355</v>
      </c>
      <c r="E72" s="14" t="s">
        <v>132</v>
      </c>
      <c r="F72" s="9" t="s">
        <v>17</v>
      </c>
      <c r="G72" s="12" t="s">
        <v>169</v>
      </c>
      <c r="H72" s="11" t="n">
        <v>195</v>
      </c>
    </row>
    <row r="73" customFormat="false" ht="31.5" hidden="false" customHeight="false" outlineLevel="0" collapsed="false">
      <c r="B73" s="17" t="s">
        <v>80</v>
      </c>
      <c r="C73" s="9" t="s">
        <v>14</v>
      </c>
      <c r="D73" s="9" t="s">
        <v>153</v>
      </c>
      <c r="E73" s="14" t="s">
        <v>154</v>
      </c>
      <c r="F73" s="9" t="s">
        <v>119</v>
      </c>
      <c r="G73" s="11" t="n">
        <v>319</v>
      </c>
      <c r="H73" s="11" t="n">
        <f aca="false">G73</f>
        <v>319</v>
      </c>
    </row>
    <row r="74" customFormat="false" ht="31.5" hidden="false" customHeight="false" outlineLevel="0" collapsed="false">
      <c r="B74" s="17" t="s">
        <v>170</v>
      </c>
      <c r="C74" s="9" t="s">
        <v>14</v>
      </c>
      <c r="D74" s="9" t="s">
        <v>158</v>
      </c>
      <c r="E74" s="14" t="s">
        <v>159</v>
      </c>
      <c r="F74" s="9" t="s">
        <v>119</v>
      </c>
      <c r="G74" s="11" t="n">
        <v>830</v>
      </c>
      <c r="H74" s="11" t="n">
        <f aca="false">G74</f>
        <v>830</v>
      </c>
    </row>
    <row r="75" customFormat="false" ht="31.5" hidden="false" customHeight="false" outlineLevel="0" collapsed="false">
      <c r="B75" s="17" t="s">
        <v>171</v>
      </c>
      <c r="C75" s="9" t="s">
        <v>14</v>
      </c>
      <c r="D75" s="9" t="s">
        <v>136</v>
      </c>
      <c r="E75" s="14" t="s">
        <v>137</v>
      </c>
      <c r="F75" s="9" t="s">
        <v>25</v>
      </c>
      <c r="G75" s="12" t="s">
        <v>172</v>
      </c>
      <c r="H75" s="11" t="n">
        <f aca="false">(0.2*0.2*2.5*14)+(0.12*0.3*2.8*71)</f>
        <v>8.5568</v>
      </c>
    </row>
    <row r="76" customFormat="false" ht="31.5" hidden="false" customHeight="false" outlineLevel="0" collapsed="false">
      <c r="B76" s="17" t="s">
        <v>173</v>
      </c>
      <c r="C76" s="9" t="s">
        <v>101</v>
      </c>
      <c r="D76" s="9" t="n">
        <v>2692</v>
      </c>
      <c r="E76" s="14" t="s">
        <v>139</v>
      </c>
      <c r="F76" s="9" t="s">
        <v>140</v>
      </c>
      <c r="G76" s="11" t="n">
        <v>60</v>
      </c>
      <c r="H76" s="11" t="n">
        <v>60</v>
      </c>
    </row>
    <row r="77" customFormat="false" ht="15.75" hidden="false" customHeight="false" outlineLevel="0" collapsed="false">
      <c r="B77" s="7" t="n">
        <v>7</v>
      </c>
      <c r="C77" s="7"/>
      <c r="D77" s="7"/>
      <c r="E77" s="8" t="s">
        <v>174</v>
      </c>
      <c r="F77" s="7"/>
      <c r="G77" s="7"/>
      <c r="H77" s="7"/>
    </row>
    <row r="78" customFormat="false" ht="31.5" hidden="false" customHeight="false" outlineLevel="0" collapsed="false">
      <c r="B78" s="17" t="s">
        <v>85</v>
      </c>
      <c r="C78" s="9" t="s">
        <v>101</v>
      </c>
      <c r="D78" s="9" t="n">
        <v>1355</v>
      </c>
      <c r="E78" s="14" t="s">
        <v>132</v>
      </c>
      <c r="F78" s="9" t="s">
        <v>17</v>
      </c>
      <c r="G78" s="11" t="s">
        <v>175</v>
      </c>
      <c r="H78" s="11" t="n">
        <f aca="false">21.18+65.23+83.72+67.45+44.12</f>
        <v>281.7</v>
      </c>
    </row>
    <row r="79" customFormat="false" ht="31.5" hidden="false" customHeight="false" outlineLevel="0" collapsed="false">
      <c r="B79" s="17" t="s">
        <v>89</v>
      </c>
      <c r="C79" s="9" t="s">
        <v>14</v>
      </c>
      <c r="D79" s="9" t="s">
        <v>153</v>
      </c>
      <c r="E79" s="14" t="s">
        <v>154</v>
      </c>
      <c r="F79" s="9" t="s">
        <v>119</v>
      </c>
      <c r="G79" s="11" t="n">
        <v>318.27</v>
      </c>
      <c r="H79" s="11" t="n">
        <v>318.27</v>
      </c>
    </row>
    <row r="80" customFormat="false" ht="31.5" hidden="false" customHeight="false" outlineLevel="0" collapsed="false">
      <c r="B80" s="17" t="s">
        <v>92</v>
      </c>
      <c r="C80" s="9" t="s">
        <v>14</v>
      </c>
      <c r="D80" s="9" t="s">
        <v>156</v>
      </c>
      <c r="E80" s="13" t="s">
        <v>122</v>
      </c>
      <c r="F80" s="9" t="s">
        <v>119</v>
      </c>
      <c r="G80" s="11" t="n">
        <v>274.98</v>
      </c>
      <c r="H80" s="11" t="n">
        <v>274.98</v>
      </c>
    </row>
    <row r="81" customFormat="false" ht="31.5" hidden="false" customHeight="false" outlineLevel="0" collapsed="false">
      <c r="B81" s="17" t="s">
        <v>176</v>
      </c>
      <c r="C81" s="9" t="s">
        <v>14</v>
      </c>
      <c r="D81" s="9" t="s">
        <v>158</v>
      </c>
      <c r="E81" s="14" t="s">
        <v>159</v>
      </c>
      <c r="F81" s="9" t="s">
        <v>119</v>
      </c>
      <c r="G81" s="11" t="n">
        <v>259.18</v>
      </c>
      <c r="H81" s="11" t="n">
        <v>259.18</v>
      </c>
    </row>
    <row r="82" customFormat="false" ht="31.5" hidden="false" customHeight="false" outlineLevel="0" collapsed="false">
      <c r="B82" s="17" t="s">
        <v>177</v>
      </c>
      <c r="C82" s="9" t="s">
        <v>14</v>
      </c>
      <c r="D82" s="9" t="s">
        <v>161</v>
      </c>
      <c r="E82" s="13" t="s">
        <v>162</v>
      </c>
      <c r="F82" s="9" t="s">
        <v>119</v>
      </c>
      <c r="G82" s="11" t="n">
        <v>296.02</v>
      </c>
      <c r="H82" s="11" t="n">
        <v>296.02</v>
      </c>
    </row>
    <row r="83" customFormat="false" ht="31.5" hidden="false" customHeight="false" outlineLevel="0" collapsed="false">
      <c r="B83" s="17" t="s">
        <v>178</v>
      </c>
      <c r="C83" s="9" t="s">
        <v>14</v>
      </c>
      <c r="D83" s="9" t="s">
        <v>136</v>
      </c>
      <c r="E83" s="14" t="s">
        <v>137</v>
      </c>
      <c r="F83" s="9" t="s">
        <v>25</v>
      </c>
      <c r="G83" s="11" t="s">
        <v>179</v>
      </c>
      <c r="H83" s="11" t="n">
        <f aca="false">1.05+3.73+4.51+3.36</f>
        <v>12.65</v>
      </c>
    </row>
    <row r="84" customFormat="false" ht="31.5" hidden="false" customHeight="false" outlineLevel="0" collapsed="false">
      <c r="B84" s="17" t="s">
        <v>180</v>
      </c>
      <c r="C84" s="9" t="s">
        <v>101</v>
      </c>
      <c r="D84" s="9" t="n">
        <v>2692</v>
      </c>
      <c r="E84" s="14" t="s">
        <v>139</v>
      </c>
      <c r="F84" s="9" t="s">
        <v>140</v>
      </c>
      <c r="G84" s="11" t="n">
        <v>60</v>
      </c>
      <c r="H84" s="11" t="n">
        <v>60</v>
      </c>
    </row>
    <row r="85" customFormat="false" ht="15.75" hidden="false" customHeight="false" outlineLevel="0" collapsed="false">
      <c r="B85" s="7" t="n">
        <v>8</v>
      </c>
      <c r="C85" s="7"/>
      <c r="D85" s="7"/>
      <c r="E85" s="8" t="s">
        <v>181</v>
      </c>
      <c r="F85" s="7"/>
      <c r="G85" s="7"/>
      <c r="H85" s="7"/>
    </row>
    <row r="86" customFormat="false" ht="47.25" hidden="false" customHeight="false" outlineLevel="0" collapsed="false">
      <c r="B86" s="17" t="s">
        <v>96</v>
      </c>
      <c r="C86" s="9" t="s">
        <v>14</v>
      </c>
      <c r="D86" s="9" t="n">
        <v>101964</v>
      </c>
      <c r="E86" s="10" t="s">
        <v>182</v>
      </c>
      <c r="F86" s="9" t="s">
        <v>17</v>
      </c>
      <c r="G86" s="11" t="s">
        <v>183</v>
      </c>
      <c r="H86" s="11" t="n">
        <f aca="false">670-60-77.85</f>
        <v>532.15</v>
      </c>
    </row>
    <row r="87" customFormat="false" ht="15.75" hidden="false" customHeight="false" outlineLevel="0" collapsed="false">
      <c r="B87" s="7" t="n">
        <v>9</v>
      </c>
      <c r="C87" s="7"/>
      <c r="D87" s="7"/>
      <c r="E87" s="8" t="s">
        <v>184</v>
      </c>
      <c r="F87" s="7"/>
      <c r="G87" s="7"/>
      <c r="H87" s="7"/>
    </row>
    <row r="88" customFormat="false" ht="47.25" hidden="false" customHeight="false" outlineLevel="0" collapsed="false">
      <c r="B88" s="17" t="s">
        <v>105</v>
      </c>
      <c r="C88" s="9" t="s">
        <v>14</v>
      </c>
      <c r="D88" s="9" t="s">
        <v>185</v>
      </c>
      <c r="E88" s="14" t="s">
        <v>186</v>
      </c>
      <c r="F88" s="9" t="s">
        <v>17</v>
      </c>
      <c r="G88" s="11" t="s">
        <v>187</v>
      </c>
      <c r="H88" s="11" t="n">
        <f aca="false">733-77.85</f>
        <v>655.15</v>
      </c>
    </row>
    <row r="89" customFormat="false" ht="31.5" hidden="false" customHeight="false" outlineLevel="0" collapsed="false">
      <c r="B89" s="17" t="s">
        <v>188</v>
      </c>
      <c r="C89" s="9" t="s">
        <v>14</v>
      </c>
      <c r="D89" s="9" t="s">
        <v>189</v>
      </c>
      <c r="E89" s="14" t="s">
        <v>190</v>
      </c>
      <c r="F89" s="9" t="s">
        <v>17</v>
      </c>
      <c r="G89" s="11" t="s">
        <v>191</v>
      </c>
      <c r="H89" s="11" t="n">
        <f aca="false">733-77.85</f>
        <v>655.15</v>
      </c>
    </row>
    <row r="90" customFormat="false" ht="15.75" hidden="false" customHeight="false" outlineLevel="0" collapsed="false">
      <c r="B90" s="25" t="n">
        <v>10</v>
      </c>
      <c r="C90" s="7"/>
      <c r="D90" s="7"/>
      <c r="E90" s="26" t="s">
        <v>192</v>
      </c>
      <c r="F90" s="7"/>
      <c r="G90" s="7"/>
      <c r="H90" s="7"/>
    </row>
    <row r="91" customFormat="false" ht="47.25" hidden="false" customHeight="false" outlineLevel="0" collapsed="false">
      <c r="B91" s="17" t="s">
        <v>193</v>
      </c>
      <c r="C91" s="9" t="s">
        <v>14</v>
      </c>
      <c r="D91" s="9" t="s">
        <v>60</v>
      </c>
      <c r="E91" s="10" t="s">
        <v>61</v>
      </c>
      <c r="F91" s="9" t="s">
        <v>17</v>
      </c>
      <c r="G91" s="12" t="s">
        <v>194</v>
      </c>
      <c r="H91" s="11" t="n">
        <f aca="false">(2*696.42)+(0.2*390.358*2)+532.15</f>
        <v>2081.1332</v>
      </c>
    </row>
    <row r="92" customFormat="false" ht="78.75" hidden="false" customHeight="false" outlineLevel="0" collapsed="false">
      <c r="B92" s="17" t="s">
        <v>195</v>
      </c>
      <c r="C92" s="9" t="s">
        <v>14</v>
      </c>
      <c r="D92" s="9" t="s">
        <v>64</v>
      </c>
      <c r="E92" s="10" t="s">
        <v>65</v>
      </c>
      <c r="F92" s="9" t="s">
        <v>17</v>
      </c>
      <c r="G92" s="12" t="s">
        <v>196</v>
      </c>
      <c r="H92" s="11" t="n">
        <f aca="false">7.84+59.34+52.11+30.57+32.64+5.58+25.14+39.24+20.47+21.67+20.17+20.52+112.04+21.32</f>
        <v>468.65</v>
      </c>
    </row>
    <row r="93" customFormat="false" ht="63" hidden="false" customHeight="false" outlineLevel="0" collapsed="false">
      <c r="B93" s="17" t="s">
        <v>197</v>
      </c>
      <c r="C93" s="9" t="s">
        <v>14</v>
      </c>
      <c r="D93" s="9" t="s">
        <v>68</v>
      </c>
      <c r="E93" s="10" t="s">
        <v>69</v>
      </c>
      <c r="F93" s="9" t="s">
        <v>17</v>
      </c>
      <c r="G93" s="12" t="s">
        <v>196</v>
      </c>
      <c r="H93" s="11" t="n">
        <f aca="false">7.84+59.34+52.11+30.57+32.64+5.58+25.14+39.24+20.47+21.67+20.17+20.52+112.04+21.32</f>
        <v>468.65</v>
      </c>
    </row>
    <row r="94" customFormat="false" ht="63" hidden="false" customHeight="false" outlineLevel="0" collapsed="false">
      <c r="B94" s="17" t="s">
        <v>198</v>
      </c>
      <c r="C94" s="9" t="s">
        <v>14</v>
      </c>
      <c r="D94" s="9" t="s">
        <v>72</v>
      </c>
      <c r="E94" s="10" t="s">
        <v>73</v>
      </c>
      <c r="F94" s="9" t="s">
        <v>17</v>
      </c>
      <c r="G94" s="11" t="s">
        <v>199</v>
      </c>
      <c r="H94" s="11" t="n">
        <f aca="false">2081.13-468.65</f>
        <v>1612.48</v>
      </c>
    </row>
    <row r="95" customFormat="false" ht="15.75" hidden="false" customHeight="false" outlineLevel="0" collapsed="false">
      <c r="B95" s="7" t="n">
        <v>11</v>
      </c>
      <c r="C95" s="7"/>
      <c r="D95" s="7"/>
      <c r="E95" s="8" t="s">
        <v>75</v>
      </c>
      <c r="F95" s="7"/>
      <c r="G95" s="7"/>
      <c r="H95" s="7"/>
    </row>
    <row r="96" customFormat="false" ht="47.25" hidden="false" customHeight="false" outlineLevel="0" collapsed="false">
      <c r="B96" s="17" t="s">
        <v>200</v>
      </c>
      <c r="C96" s="9" t="s">
        <v>14</v>
      </c>
      <c r="D96" s="9" t="s">
        <v>77</v>
      </c>
      <c r="E96" s="14" t="s">
        <v>78</v>
      </c>
      <c r="F96" s="9" t="s">
        <v>17</v>
      </c>
      <c r="G96" s="11" t="n">
        <v>712.35</v>
      </c>
      <c r="H96" s="11" t="n">
        <v>712.35</v>
      </c>
    </row>
    <row r="97" customFormat="false" ht="47.25" hidden="false" customHeight="false" outlineLevel="0" collapsed="false">
      <c r="B97" s="17" t="s">
        <v>201</v>
      </c>
      <c r="C97" s="9" t="s">
        <v>34</v>
      </c>
      <c r="D97" s="9" t="s">
        <v>81</v>
      </c>
      <c r="E97" s="14" t="s">
        <v>82</v>
      </c>
      <c r="F97" s="9" t="s">
        <v>17</v>
      </c>
      <c r="G97" s="11" t="n">
        <v>532.15</v>
      </c>
      <c r="H97" s="11" t="n">
        <v>532.15</v>
      </c>
    </row>
    <row r="98" customFormat="false" ht="31.5" hidden="false" customHeight="false" outlineLevel="0" collapsed="false">
      <c r="B98" s="17" t="s">
        <v>202</v>
      </c>
      <c r="C98" s="9" t="s">
        <v>101</v>
      </c>
      <c r="D98" s="9" t="n">
        <v>38181</v>
      </c>
      <c r="E98" s="14" t="s">
        <v>203</v>
      </c>
      <c r="F98" s="9" t="s">
        <v>17</v>
      </c>
      <c r="G98" s="11" t="n">
        <v>120</v>
      </c>
      <c r="H98" s="11" t="n">
        <v>120</v>
      </c>
    </row>
    <row r="99" customFormat="false" ht="15.75" hidden="false" customHeight="false" outlineLevel="0" collapsed="false">
      <c r="B99" s="7" t="n">
        <v>12</v>
      </c>
      <c r="C99" s="7"/>
      <c r="D99" s="7"/>
      <c r="E99" s="8" t="s">
        <v>204</v>
      </c>
      <c r="F99" s="7"/>
      <c r="G99" s="7"/>
      <c r="H99" s="7"/>
    </row>
    <row r="100" customFormat="false" ht="78.75" hidden="false" customHeight="false" outlineLevel="0" collapsed="false">
      <c r="B100" s="17" t="s">
        <v>205</v>
      </c>
      <c r="C100" s="9" t="s">
        <v>34</v>
      </c>
      <c r="D100" s="9" t="s">
        <v>35</v>
      </c>
      <c r="E100" s="10" t="s">
        <v>36</v>
      </c>
      <c r="F100" s="9" t="s">
        <v>17</v>
      </c>
      <c r="G100" s="27" t="s">
        <v>206</v>
      </c>
      <c r="H100" s="15" t="n">
        <v>11.77</v>
      </c>
    </row>
    <row r="101" customFormat="false" ht="63" hidden="false" customHeight="false" outlineLevel="0" collapsed="false">
      <c r="B101" s="17" t="s">
        <v>207</v>
      </c>
      <c r="C101" s="9" t="s">
        <v>14</v>
      </c>
      <c r="D101" s="9" t="n">
        <v>94573</v>
      </c>
      <c r="E101" s="10" t="s">
        <v>39</v>
      </c>
      <c r="F101" s="9" t="s">
        <v>17</v>
      </c>
      <c r="G101" s="27" t="s">
        <v>208</v>
      </c>
      <c r="H101" s="15" t="n">
        <v>49.2</v>
      </c>
    </row>
    <row r="102" customFormat="false" ht="78.75" hidden="false" customHeight="false" outlineLevel="0" collapsed="false">
      <c r="B102" s="17" t="s">
        <v>209</v>
      </c>
      <c r="C102" s="9" t="s">
        <v>34</v>
      </c>
      <c r="D102" s="9" t="s">
        <v>42</v>
      </c>
      <c r="E102" s="10" t="s">
        <v>43</v>
      </c>
      <c r="F102" s="9" t="s">
        <v>17</v>
      </c>
      <c r="G102" s="15" t="s">
        <v>210</v>
      </c>
      <c r="H102" s="15" t="n">
        <v>11.76</v>
      </c>
    </row>
    <row r="103" customFormat="false" ht="63" hidden="false" customHeight="false" outlineLevel="0" collapsed="false">
      <c r="B103" s="17" t="s">
        <v>211</v>
      </c>
      <c r="C103" s="9" t="s">
        <v>34</v>
      </c>
      <c r="D103" s="9" t="s">
        <v>212</v>
      </c>
      <c r="E103" s="10" t="s">
        <v>213</v>
      </c>
      <c r="F103" s="9" t="s">
        <v>17</v>
      </c>
      <c r="G103" s="15" t="s">
        <v>214</v>
      </c>
      <c r="H103" s="15" t="n">
        <v>3.36</v>
      </c>
    </row>
    <row r="104" customFormat="false" ht="47.25" hidden="false" customHeight="false" outlineLevel="0" collapsed="false">
      <c r="B104" s="17" t="s">
        <v>215</v>
      </c>
      <c r="C104" s="9" t="s">
        <v>14</v>
      </c>
      <c r="D104" s="9" t="n">
        <v>94805</v>
      </c>
      <c r="E104" s="10" t="s">
        <v>51</v>
      </c>
      <c r="F104" s="9" t="s">
        <v>17</v>
      </c>
      <c r="G104" s="15" t="s">
        <v>216</v>
      </c>
      <c r="H104" s="15" t="n">
        <v>23.52</v>
      </c>
    </row>
    <row r="105" customFormat="false" ht="47.25" hidden="false" customHeight="false" outlineLevel="0" collapsed="false">
      <c r="B105" s="17" t="s">
        <v>217</v>
      </c>
      <c r="C105" s="9" t="s">
        <v>14</v>
      </c>
      <c r="D105" s="9" t="n">
        <v>91338</v>
      </c>
      <c r="E105" s="10" t="s">
        <v>46</v>
      </c>
      <c r="F105" s="9" t="s">
        <v>17</v>
      </c>
      <c r="G105" s="15" t="s">
        <v>218</v>
      </c>
      <c r="H105" s="15" t="n">
        <v>31.92</v>
      </c>
    </row>
    <row r="106" customFormat="false" ht="63" hidden="false" customHeight="false" outlineLevel="0" collapsed="false">
      <c r="B106" s="17" t="s">
        <v>219</v>
      </c>
      <c r="C106" s="9" t="s">
        <v>14</v>
      </c>
      <c r="D106" s="9" t="s">
        <v>220</v>
      </c>
      <c r="E106" s="10" t="s">
        <v>221</v>
      </c>
      <c r="F106" s="9" t="s">
        <v>17</v>
      </c>
      <c r="G106" s="27" t="s">
        <v>222</v>
      </c>
      <c r="H106" s="15" t="n">
        <v>102.08</v>
      </c>
    </row>
    <row r="107" customFormat="false" ht="31.5" hidden="false" customHeight="false" outlineLevel="0" collapsed="false">
      <c r="B107" s="17" t="s">
        <v>223</v>
      </c>
      <c r="C107" s="9" t="s">
        <v>34</v>
      </c>
      <c r="D107" s="9" t="s">
        <v>224</v>
      </c>
      <c r="E107" s="10" t="s">
        <v>225</v>
      </c>
      <c r="F107" s="9" t="s">
        <v>17</v>
      </c>
      <c r="G107" s="27" t="s">
        <v>226</v>
      </c>
      <c r="H107" s="15" t="n">
        <v>52</v>
      </c>
    </row>
    <row r="108" customFormat="false" ht="31.5" hidden="false" customHeight="false" outlineLevel="0" collapsed="false">
      <c r="B108" s="17" t="s">
        <v>227</v>
      </c>
      <c r="C108" s="9" t="s">
        <v>34</v>
      </c>
      <c r="D108" s="9" t="s">
        <v>228</v>
      </c>
      <c r="E108" s="10" t="s">
        <v>229</v>
      </c>
      <c r="F108" s="9" t="s">
        <v>17</v>
      </c>
      <c r="G108" s="15" t="s">
        <v>230</v>
      </c>
      <c r="H108" s="15" t="n">
        <v>9.18</v>
      </c>
    </row>
    <row r="109" customFormat="false" ht="31.5" hidden="false" customHeight="false" outlineLevel="0" collapsed="false">
      <c r="B109" s="17" t="s">
        <v>231</v>
      </c>
      <c r="C109" s="9" t="s">
        <v>34</v>
      </c>
      <c r="D109" s="9" t="s">
        <v>224</v>
      </c>
      <c r="E109" s="10" t="s">
        <v>232</v>
      </c>
      <c r="F109" s="9" t="s">
        <v>17</v>
      </c>
      <c r="G109" s="15" t="s">
        <v>233</v>
      </c>
      <c r="H109" s="15" t="n">
        <v>7</v>
      </c>
    </row>
    <row r="110" customFormat="false" ht="15.75" hidden="false" customHeight="false" outlineLevel="0" collapsed="false">
      <c r="B110" s="17" t="s">
        <v>234</v>
      </c>
      <c r="C110" s="9" t="s">
        <v>34</v>
      </c>
      <c r="D110" s="9" t="s">
        <v>235</v>
      </c>
      <c r="E110" s="10" t="s">
        <v>236</v>
      </c>
      <c r="F110" s="9" t="s">
        <v>17</v>
      </c>
      <c r="G110" s="15" t="s">
        <v>214</v>
      </c>
      <c r="H110" s="15" t="n">
        <v>3.36</v>
      </c>
    </row>
    <row r="111" customFormat="false" ht="94.5" hidden="false" customHeight="false" outlineLevel="0" collapsed="false">
      <c r="B111" s="17" t="s">
        <v>237</v>
      </c>
      <c r="C111" s="9" t="s">
        <v>34</v>
      </c>
      <c r="D111" s="9" t="s">
        <v>238</v>
      </c>
      <c r="E111" s="10" t="s">
        <v>239</v>
      </c>
      <c r="F111" s="9" t="s">
        <v>240</v>
      </c>
      <c r="G111" s="15" t="n">
        <v>1</v>
      </c>
      <c r="H111" s="15" t="n">
        <v>1</v>
      </c>
    </row>
    <row r="112" customFormat="false" ht="15.75" hidden="false" customHeight="false" outlineLevel="0" collapsed="false">
      <c r="B112" s="7" t="n">
        <v>13</v>
      </c>
      <c r="C112" s="7"/>
      <c r="D112" s="7"/>
      <c r="E112" s="8" t="s">
        <v>95</v>
      </c>
      <c r="F112" s="7"/>
      <c r="G112" s="7"/>
      <c r="H112" s="7"/>
    </row>
    <row r="113" customFormat="false" ht="31.5" hidden="false" customHeight="false" outlineLevel="0" collapsed="false">
      <c r="B113" s="17" t="s">
        <v>241</v>
      </c>
      <c r="C113" s="9" t="s">
        <v>34</v>
      </c>
      <c r="D113" s="9" t="s">
        <v>97</v>
      </c>
      <c r="E113" s="14" t="s">
        <v>98</v>
      </c>
      <c r="F113" s="9" t="s">
        <v>17</v>
      </c>
      <c r="G113" s="12" t="s">
        <v>242</v>
      </c>
      <c r="H113" s="11" t="n">
        <v>16.26</v>
      </c>
    </row>
    <row r="114" customFormat="false" ht="31.5" hidden="false" customHeight="false" outlineLevel="0" collapsed="false">
      <c r="B114" s="17" t="s">
        <v>243</v>
      </c>
      <c r="C114" s="9" t="s">
        <v>101</v>
      </c>
      <c r="D114" s="9" t="n">
        <v>4917</v>
      </c>
      <c r="E114" s="14" t="s">
        <v>102</v>
      </c>
      <c r="F114" s="9" t="s">
        <v>17</v>
      </c>
      <c r="G114" s="11" t="s">
        <v>103</v>
      </c>
      <c r="H114" s="11" t="n">
        <v>4.32</v>
      </c>
    </row>
    <row r="115" customFormat="false" ht="15.75" hidden="false" customHeight="false" outlineLevel="0" collapsed="false">
      <c r="B115" s="7" t="n">
        <v>14</v>
      </c>
      <c r="C115" s="7"/>
      <c r="D115" s="7"/>
      <c r="E115" s="8" t="s">
        <v>244</v>
      </c>
      <c r="F115" s="7"/>
      <c r="G115" s="7"/>
      <c r="H115" s="7"/>
    </row>
    <row r="116" customFormat="false" ht="47.25" hidden="false" customHeight="false" outlineLevel="0" collapsed="false">
      <c r="B116" s="17" t="s">
        <v>245</v>
      </c>
      <c r="C116" s="9" t="s">
        <v>34</v>
      </c>
      <c r="D116" s="9" t="s">
        <v>86</v>
      </c>
      <c r="E116" s="10" t="s">
        <v>246</v>
      </c>
      <c r="F116" s="9" t="s">
        <v>17</v>
      </c>
      <c r="G116" s="11" t="s">
        <v>247</v>
      </c>
      <c r="H116" s="11" t="n">
        <f aca="false">(182.5*0.9)+(281*0.9)</f>
        <v>417.15</v>
      </c>
    </row>
    <row r="117" customFormat="false" ht="31.5" hidden="false" customHeight="false" outlineLevel="0" collapsed="false">
      <c r="B117" s="17" t="s">
        <v>248</v>
      </c>
      <c r="C117" s="9" t="s">
        <v>14</v>
      </c>
      <c r="D117" s="9" t="n">
        <v>88489</v>
      </c>
      <c r="E117" s="10" t="s">
        <v>90</v>
      </c>
      <c r="F117" s="9" t="s">
        <v>17</v>
      </c>
      <c r="G117" s="11" t="s">
        <v>249</v>
      </c>
      <c r="H117" s="11" t="n">
        <f aca="false">1612.48-417.15</f>
        <v>1195.33</v>
      </c>
    </row>
    <row r="118" customFormat="false" ht="47.25" hidden="false" customHeight="false" outlineLevel="0" collapsed="false">
      <c r="B118" s="17" t="s">
        <v>250</v>
      </c>
      <c r="C118" s="9" t="s">
        <v>14</v>
      </c>
      <c r="D118" s="9" t="n">
        <v>100741</v>
      </c>
      <c r="E118" s="10" t="s">
        <v>251</v>
      </c>
      <c r="F118" s="9" t="s">
        <v>17</v>
      </c>
      <c r="G118" s="28" t="s">
        <v>252</v>
      </c>
      <c r="H118" s="11" t="n">
        <v>213.32</v>
      </c>
    </row>
    <row r="119" customFormat="false" ht="15.75" hidden="false" customHeight="false" outlineLevel="0" collapsed="false">
      <c r="B119" s="7" t="n">
        <v>15</v>
      </c>
      <c r="C119" s="7"/>
      <c r="D119" s="7"/>
      <c r="E119" s="8" t="s">
        <v>104</v>
      </c>
      <c r="F119" s="7"/>
      <c r="G119" s="7"/>
      <c r="H119" s="7"/>
    </row>
    <row r="120" customFormat="false" ht="15.75" hidden="false" customHeight="false" outlineLevel="0" collapsed="false">
      <c r="B120" s="17" t="s">
        <v>253</v>
      </c>
      <c r="C120" s="9" t="s">
        <v>14</v>
      </c>
      <c r="D120" s="9" t="s">
        <v>106</v>
      </c>
      <c r="E120" s="10" t="s">
        <v>107</v>
      </c>
      <c r="F120" s="9" t="s">
        <v>17</v>
      </c>
      <c r="G120" s="11" t="n">
        <v>532.15</v>
      </c>
      <c r="H120" s="11" t="n">
        <v>532.15</v>
      </c>
    </row>
    <row r="121" customFormat="false" ht="15.75" hidden="false" customHeight="false" outlineLevel="0" collapsed="false">
      <c r="B121" s="18"/>
      <c r="C121" s="18"/>
      <c r="D121" s="18"/>
      <c r="E121" s="18"/>
      <c r="F121" s="18"/>
      <c r="G121" s="18"/>
      <c r="H121" s="18"/>
    </row>
    <row r="122" customFormat="false" ht="15.75" hidden="false" customHeight="false" outlineLevel="0" collapsed="false">
      <c r="B122" s="2" t="s">
        <v>254</v>
      </c>
      <c r="C122" s="2"/>
      <c r="D122" s="2"/>
      <c r="E122" s="2"/>
      <c r="F122" s="2"/>
      <c r="G122" s="2"/>
      <c r="H122" s="2"/>
    </row>
    <row r="123" customFormat="false" ht="15.75" hidden="false" customHeight="false" outlineLevel="0" collapsed="false">
      <c r="B123" s="7" t="n">
        <v>1</v>
      </c>
      <c r="C123" s="7"/>
      <c r="D123" s="7"/>
      <c r="E123" s="29" t="s">
        <v>255</v>
      </c>
      <c r="F123" s="7"/>
      <c r="G123" s="7"/>
      <c r="H123" s="7"/>
    </row>
    <row r="124" customFormat="false" ht="15.75" hidden="false" customHeight="false" outlineLevel="0" collapsed="false">
      <c r="B124" s="17" t="s">
        <v>13</v>
      </c>
      <c r="C124" s="30" t="s">
        <v>14</v>
      </c>
      <c r="D124" s="30" t="n">
        <v>38978</v>
      </c>
      <c r="E124" s="31" t="s">
        <v>256</v>
      </c>
      <c r="F124" s="30" t="s">
        <v>257</v>
      </c>
      <c r="G124" s="32" t="n">
        <v>47.17</v>
      </c>
      <c r="H124" s="32" t="n">
        <v>47.17</v>
      </c>
    </row>
    <row r="125" customFormat="false" ht="15.75" hidden="false" customHeight="false" outlineLevel="0" collapsed="false">
      <c r="B125" s="17" t="s">
        <v>19</v>
      </c>
      <c r="C125" s="30" t="s">
        <v>14</v>
      </c>
      <c r="D125" s="30" t="n">
        <v>1031</v>
      </c>
      <c r="E125" s="31" t="s">
        <v>258</v>
      </c>
      <c r="F125" s="30" t="s">
        <v>240</v>
      </c>
      <c r="G125" s="32" t="n">
        <v>22</v>
      </c>
      <c r="H125" s="32" t="n">
        <v>22</v>
      </c>
    </row>
    <row r="126" customFormat="false" ht="47.25" hidden="false" customHeight="false" outlineLevel="0" collapsed="false">
      <c r="B126" s="17" t="s">
        <v>23</v>
      </c>
      <c r="C126" s="30" t="s">
        <v>34</v>
      </c>
      <c r="D126" s="30" t="s">
        <v>259</v>
      </c>
      <c r="E126" s="31" t="s">
        <v>260</v>
      </c>
      <c r="F126" s="30" t="s">
        <v>240</v>
      </c>
      <c r="G126" s="32" t="n">
        <v>22</v>
      </c>
      <c r="H126" s="32" t="n">
        <v>22</v>
      </c>
    </row>
    <row r="127" customFormat="false" ht="15.75" hidden="false" customHeight="false" outlineLevel="0" collapsed="false">
      <c r="B127" s="17" t="s">
        <v>261</v>
      </c>
      <c r="C127" s="30" t="s">
        <v>14</v>
      </c>
      <c r="D127" s="30" t="n">
        <v>9856</v>
      </c>
      <c r="E127" s="31" t="s">
        <v>262</v>
      </c>
      <c r="F127" s="30" t="s">
        <v>257</v>
      </c>
      <c r="G127" s="32" t="n">
        <v>0.28</v>
      </c>
      <c r="H127" s="32" t="n">
        <v>0.28</v>
      </c>
    </row>
    <row r="128" customFormat="false" ht="15.75" hidden="false" customHeight="false" outlineLevel="0" collapsed="false">
      <c r="B128" s="17" t="s">
        <v>263</v>
      </c>
      <c r="C128" s="30" t="s">
        <v>14</v>
      </c>
      <c r="D128" s="30" t="n">
        <v>9867</v>
      </c>
      <c r="E128" s="31" t="s">
        <v>264</v>
      </c>
      <c r="F128" s="30" t="s">
        <v>257</v>
      </c>
      <c r="G128" s="32" t="n">
        <v>47.17</v>
      </c>
      <c r="H128" s="32" t="n">
        <v>47.17</v>
      </c>
    </row>
    <row r="129" customFormat="false" ht="15.75" hidden="false" customHeight="false" outlineLevel="0" collapsed="false">
      <c r="B129" s="17" t="s">
        <v>265</v>
      </c>
      <c r="C129" s="30" t="s">
        <v>14</v>
      </c>
      <c r="D129" s="30" t="n">
        <v>9868</v>
      </c>
      <c r="E129" s="31" t="s">
        <v>266</v>
      </c>
      <c r="F129" s="30" t="s">
        <v>257</v>
      </c>
      <c r="G129" s="32" t="n">
        <f aca="false">266.91+71.24</f>
        <v>338.15</v>
      </c>
      <c r="H129" s="32" t="n">
        <f aca="false">266.91+71.24</f>
        <v>338.15</v>
      </c>
    </row>
    <row r="130" customFormat="false" ht="15.75" hidden="false" customHeight="false" outlineLevel="0" collapsed="false">
      <c r="B130" s="17" t="s">
        <v>267</v>
      </c>
      <c r="C130" s="30" t="s">
        <v>14</v>
      </c>
      <c r="D130" s="30" t="n">
        <v>9875</v>
      </c>
      <c r="E130" s="31" t="s">
        <v>268</v>
      </c>
      <c r="F130" s="30" t="s">
        <v>257</v>
      </c>
      <c r="G130" s="32" t="n">
        <f aca="false">46.4+66.48</f>
        <v>112.88</v>
      </c>
      <c r="H130" s="32" t="n">
        <f aca="false">46.4+66.48</f>
        <v>112.88</v>
      </c>
    </row>
    <row r="131" customFormat="false" ht="15.75" hidden="false" customHeight="false" outlineLevel="0" collapsed="false">
      <c r="B131" s="17" t="s">
        <v>269</v>
      </c>
      <c r="C131" s="30" t="s">
        <v>14</v>
      </c>
      <c r="D131" s="30" t="n">
        <v>9873</v>
      </c>
      <c r="E131" s="31" t="s">
        <v>270</v>
      </c>
      <c r="F131" s="30" t="s">
        <v>257</v>
      </c>
      <c r="G131" s="32" t="n">
        <v>70.89</v>
      </c>
      <c r="H131" s="32" t="n">
        <v>70.89</v>
      </c>
    </row>
    <row r="132" customFormat="false" ht="15.75" hidden="false" customHeight="false" outlineLevel="0" collapsed="false">
      <c r="B132" s="17" t="s">
        <v>271</v>
      </c>
      <c r="C132" s="30" t="s">
        <v>14</v>
      </c>
      <c r="D132" s="30" t="n">
        <v>9871</v>
      </c>
      <c r="E132" s="31" t="s">
        <v>272</v>
      </c>
      <c r="F132" s="30" t="s">
        <v>257</v>
      </c>
      <c r="G132" s="32" t="n">
        <v>32.16</v>
      </c>
      <c r="H132" s="32" t="n">
        <v>32.16</v>
      </c>
    </row>
    <row r="133" customFormat="false" ht="15.75" hidden="false" customHeight="false" outlineLevel="0" collapsed="false">
      <c r="B133" s="17" t="s">
        <v>273</v>
      </c>
      <c r="C133" s="30" t="s">
        <v>14</v>
      </c>
      <c r="D133" s="30" t="n">
        <v>9841</v>
      </c>
      <c r="E133" s="31" t="s">
        <v>274</v>
      </c>
      <c r="F133" s="30" t="s">
        <v>257</v>
      </c>
      <c r="G133" s="32" t="n">
        <f aca="false">60.12+233.01</f>
        <v>293.13</v>
      </c>
      <c r="H133" s="32" t="n">
        <f aca="false">60.12+233.01</f>
        <v>293.13</v>
      </c>
    </row>
    <row r="134" customFormat="false" ht="15.75" hidden="false" customHeight="false" outlineLevel="0" collapsed="false">
      <c r="B134" s="17" t="s">
        <v>275</v>
      </c>
      <c r="C134" s="30" t="s">
        <v>14</v>
      </c>
      <c r="D134" s="30" t="n">
        <v>20067</v>
      </c>
      <c r="E134" s="31" t="s">
        <v>276</v>
      </c>
      <c r="F134" s="30" t="s">
        <v>257</v>
      </c>
      <c r="G134" s="32" t="n">
        <v>59.37</v>
      </c>
      <c r="H134" s="32" t="n">
        <v>59.37</v>
      </c>
    </row>
    <row r="135" customFormat="false" ht="15.75" hidden="false" customHeight="false" outlineLevel="0" collapsed="false">
      <c r="B135" s="17" t="s">
        <v>277</v>
      </c>
      <c r="C135" s="30" t="s">
        <v>14</v>
      </c>
      <c r="D135" s="30" t="n">
        <v>9839</v>
      </c>
      <c r="E135" s="31" t="s">
        <v>278</v>
      </c>
      <c r="F135" s="30" t="s">
        <v>257</v>
      </c>
      <c r="G135" s="32" t="n">
        <v>8.71</v>
      </c>
      <c r="H135" s="32" t="n">
        <v>8.71</v>
      </c>
    </row>
    <row r="136" customFormat="false" ht="15.75" hidden="false" customHeight="false" outlineLevel="0" collapsed="false">
      <c r="B136" s="17" t="s">
        <v>279</v>
      </c>
      <c r="C136" s="30" t="s">
        <v>14</v>
      </c>
      <c r="D136" s="30" t="n">
        <v>20068</v>
      </c>
      <c r="E136" s="31" t="s">
        <v>280</v>
      </c>
      <c r="F136" s="30" t="s">
        <v>257</v>
      </c>
      <c r="G136" s="32" t="n">
        <f aca="false">59.49+11.77</f>
        <v>71.26</v>
      </c>
      <c r="H136" s="32" t="n">
        <f aca="false">59.49+11.77</f>
        <v>71.26</v>
      </c>
    </row>
    <row r="137" customFormat="false" ht="15.75" hidden="false" customHeight="false" outlineLevel="0" collapsed="false">
      <c r="B137" s="17" t="s">
        <v>281</v>
      </c>
      <c r="C137" s="30" t="s">
        <v>14</v>
      </c>
      <c r="D137" s="30" t="n">
        <v>6010</v>
      </c>
      <c r="E137" s="31" t="s">
        <v>282</v>
      </c>
      <c r="F137" s="30" t="s">
        <v>240</v>
      </c>
      <c r="G137" s="32" t="n">
        <v>36</v>
      </c>
      <c r="H137" s="32" t="n">
        <v>36</v>
      </c>
    </row>
    <row r="138" customFormat="false" ht="15.75" hidden="false" customHeight="false" outlineLevel="0" collapsed="false">
      <c r="B138" s="17" t="s">
        <v>283</v>
      </c>
      <c r="C138" s="30" t="s">
        <v>14</v>
      </c>
      <c r="D138" s="30" t="n">
        <v>6024</v>
      </c>
      <c r="E138" s="31" t="s">
        <v>284</v>
      </c>
      <c r="F138" s="30" t="s">
        <v>240</v>
      </c>
      <c r="G138" s="32" t="n">
        <v>23</v>
      </c>
      <c r="H138" s="32" t="n">
        <v>23</v>
      </c>
    </row>
    <row r="139" customFormat="false" ht="15.75" hidden="false" customHeight="false" outlineLevel="0" collapsed="false">
      <c r="B139" s="17" t="s">
        <v>285</v>
      </c>
      <c r="C139" s="30" t="s">
        <v>14</v>
      </c>
      <c r="D139" s="30" t="n">
        <v>6011</v>
      </c>
      <c r="E139" s="31" t="s">
        <v>286</v>
      </c>
      <c r="F139" s="30" t="s">
        <v>287</v>
      </c>
      <c r="G139" s="32" t="n">
        <v>3</v>
      </c>
      <c r="H139" s="32" t="n">
        <v>3</v>
      </c>
    </row>
    <row r="140" customFormat="false" ht="15.75" hidden="false" customHeight="false" outlineLevel="0" collapsed="false">
      <c r="B140" s="17" t="s">
        <v>288</v>
      </c>
      <c r="C140" s="30" t="s">
        <v>14</v>
      </c>
      <c r="D140" s="30" t="n">
        <v>6034</v>
      </c>
      <c r="E140" s="31" t="s">
        <v>289</v>
      </c>
      <c r="F140" s="30" t="s">
        <v>240</v>
      </c>
      <c r="G140" s="32" t="n">
        <v>1</v>
      </c>
      <c r="H140" s="32" t="n">
        <v>1</v>
      </c>
    </row>
    <row r="141" customFormat="false" ht="15.75" hidden="false" customHeight="false" outlineLevel="0" collapsed="false">
      <c r="B141" s="17" t="s">
        <v>290</v>
      </c>
      <c r="C141" s="30" t="s">
        <v>14</v>
      </c>
      <c r="D141" s="30" t="n">
        <v>11670</v>
      </c>
      <c r="E141" s="31" t="s">
        <v>291</v>
      </c>
      <c r="F141" s="30" t="s">
        <v>240</v>
      </c>
      <c r="G141" s="32" t="n">
        <v>4</v>
      </c>
      <c r="H141" s="32" t="n">
        <v>4</v>
      </c>
    </row>
    <row r="142" customFormat="false" ht="31.5" hidden="false" customHeight="false" outlineLevel="0" collapsed="false">
      <c r="B142" s="17" t="s">
        <v>292</v>
      </c>
      <c r="C142" s="30" t="s">
        <v>14</v>
      </c>
      <c r="D142" s="30" t="n">
        <v>107</v>
      </c>
      <c r="E142" s="31" t="s">
        <v>293</v>
      </c>
      <c r="F142" s="30" t="s">
        <v>240</v>
      </c>
      <c r="G142" s="32" t="n">
        <v>8</v>
      </c>
      <c r="H142" s="32" t="n">
        <v>8</v>
      </c>
    </row>
    <row r="143" customFormat="false" ht="15.75" hidden="false" customHeight="false" outlineLevel="0" collapsed="false">
      <c r="B143" s="17" t="s">
        <v>294</v>
      </c>
      <c r="C143" s="30" t="s">
        <v>14</v>
      </c>
      <c r="D143" s="30" t="n">
        <v>65</v>
      </c>
      <c r="E143" s="31" t="s">
        <v>295</v>
      </c>
      <c r="F143" s="30" t="s">
        <v>240</v>
      </c>
      <c r="G143" s="32" t="n">
        <v>95</v>
      </c>
      <c r="H143" s="32" t="n">
        <v>95</v>
      </c>
    </row>
    <row r="144" customFormat="false" ht="15.75" hidden="false" customHeight="false" outlineLevel="0" collapsed="false">
      <c r="B144" s="17" t="s">
        <v>296</v>
      </c>
      <c r="C144" s="30" t="s">
        <v>14</v>
      </c>
      <c r="D144" s="30" t="n">
        <v>83</v>
      </c>
      <c r="E144" s="31" t="s">
        <v>297</v>
      </c>
      <c r="F144" s="30" t="s">
        <v>240</v>
      </c>
      <c r="G144" s="32" t="n">
        <v>3</v>
      </c>
      <c r="H144" s="32" t="n">
        <v>3</v>
      </c>
    </row>
    <row r="145" customFormat="false" ht="15.75" hidden="false" customHeight="false" outlineLevel="0" collapsed="false">
      <c r="B145" s="17" t="s">
        <v>298</v>
      </c>
      <c r="C145" s="30" t="s">
        <v>14</v>
      </c>
      <c r="D145" s="30" t="n">
        <v>112</v>
      </c>
      <c r="E145" s="31" t="s">
        <v>299</v>
      </c>
      <c r="F145" s="30" t="s">
        <v>240</v>
      </c>
      <c r="G145" s="32" t="n">
        <v>56</v>
      </c>
      <c r="H145" s="32" t="n">
        <v>56</v>
      </c>
    </row>
    <row r="146" customFormat="false" ht="31.5" hidden="false" customHeight="false" outlineLevel="0" collapsed="false">
      <c r="B146" s="17" t="s">
        <v>300</v>
      </c>
      <c r="C146" s="30" t="s">
        <v>14</v>
      </c>
      <c r="D146" s="30" t="n">
        <v>87</v>
      </c>
      <c r="E146" s="31" t="s">
        <v>301</v>
      </c>
      <c r="F146" s="30" t="s">
        <v>240</v>
      </c>
      <c r="G146" s="32" t="n">
        <v>3</v>
      </c>
      <c r="H146" s="32" t="n">
        <v>3</v>
      </c>
    </row>
    <row r="147" customFormat="false" ht="15.75" hidden="false" customHeight="false" outlineLevel="0" collapsed="false">
      <c r="B147" s="17" t="s">
        <v>302</v>
      </c>
      <c r="C147" s="30" t="s">
        <v>14</v>
      </c>
      <c r="D147" s="30" t="n">
        <v>10228</v>
      </c>
      <c r="E147" s="31" t="s">
        <v>303</v>
      </c>
      <c r="F147" s="30" t="s">
        <v>240</v>
      </c>
      <c r="G147" s="32" t="n">
        <v>22</v>
      </c>
      <c r="H147" s="32" t="n">
        <v>22</v>
      </c>
    </row>
    <row r="148" customFormat="false" ht="15.75" hidden="false" customHeight="false" outlineLevel="0" collapsed="false">
      <c r="B148" s="17" t="s">
        <v>304</v>
      </c>
      <c r="C148" s="33" t="s">
        <v>14</v>
      </c>
      <c r="D148" s="30" t="n">
        <v>38643</v>
      </c>
      <c r="E148" s="31" t="s">
        <v>305</v>
      </c>
      <c r="F148" s="30" t="s">
        <v>240</v>
      </c>
      <c r="G148" s="32" t="n">
        <v>43</v>
      </c>
      <c r="H148" s="32" t="n">
        <v>43</v>
      </c>
    </row>
    <row r="149" customFormat="false" ht="15.75" hidden="false" customHeight="false" outlineLevel="0" collapsed="false">
      <c r="B149" s="17" t="s">
        <v>306</v>
      </c>
      <c r="C149" s="30" t="s">
        <v>14</v>
      </c>
      <c r="D149" s="30" t="n">
        <v>6140</v>
      </c>
      <c r="E149" s="31" t="s">
        <v>307</v>
      </c>
      <c r="F149" s="30" t="s">
        <v>240</v>
      </c>
      <c r="G149" s="32" t="n">
        <v>22</v>
      </c>
      <c r="H149" s="32" t="n">
        <v>22</v>
      </c>
    </row>
    <row r="150" customFormat="false" ht="15.75" hidden="false" customHeight="false" outlineLevel="0" collapsed="false">
      <c r="B150" s="17" t="s">
        <v>308</v>
      </c>
      <c r="C150" s="30" t="s">
        <v>14</v>
      </c>
      <c r="D150" s="30" t="n">
        <v>11743</v>
      </c>
      <c r="E150" s="31" t="s">
        <v>309</v>
      </c>
      <c r="F150" s="30" t="s">
        <v>240</v>
      </c>
      <c r="G150" s="32" t="n">
        <v>5</v>
      </c>
      <c r="H150" s="32" t="n">
        <v>5</v>
      </c>
    </row>
    <row r="151" customFormat="false" ht="15.75" hidden="false" customHeight="false" outlineLevel="0" collapsed="false">
      <c r="B151" s="17" t="s">
        <v>310</v>
      </c>
      <c r="C151" s="30" t="s">
        <v>14</v>
      </c>
      <c r="D151" s="30" t="n">
        <v>1427</v>
      </c>
      <c r="E151" s="31" t="s">
        <v>311</v>
      </c>
      <c r="F151" s="30" t="s">
        <v>240</v>
      </c>
      <c r="G151" s="32" t="n">
        <v>1</v>
      </c>
      <c r="H151" s="32" t="n">
        <v>1</v>
      </c>
    </row>
    <row r="152" customFormat="false" ht="15.75" hidden="false" customHeight="false" outlineLevel="0" collapsed="false">
      <c r="B152" s="17" t="s">
        <v>312</v>
      </c>
      <c r="C152" s="30" t="s">
        <v>14</v>
      </c>
      <c r="D152" s="30" t="n">
        <v>6140</v>
      </c>
      <c r="E152" s="31" t="s">
        <v>313</v>
      </c>
      <c r="F152" s="30" t="s">
        <v>240</v>
      </c>
      <c r="G152" s="32" t="n">
        <v>34</v>
      </c>
      <c r="H152" s="32" t="n">
        <v>34</v>
      </c>
    </row>
    <row r="153" customFormat="false" ht="31.5" hidden="false" customHeight="false" outlineLevel="0" collapsed="false">
      <c r="B153" s="17" t="s">
        <v>314</v>
      </c>
      <c r="C153" s="30" t="s">
        <v>14</v>
      </c>
      <c r="D153" s="30" t="n">
        <v>10420</v>
      </c>
      <c r="E153" s="31" t="s">
        <v>315</v>
      </c>
      <c r="F153" s="30" t="s">
        <v>240</v>
      </c>
      <c r="G153" s="32" t="n">
        <v>22</v>
      </c>
      <c r="H153" s="32" t="n">
        <v>22</v>
      </c>
    </row>
    <row r="154" customFormat="false" ht="15.75" hidden="false" customHeight="false" outlineLevel="0" collapsed="false">
      <c r="B154" s="17" t="s">
        <v>316</v>
      </c>
      <c r="C154" s="30" t="s">
        <v>14</v>
      </c>
      <c r="D154" s="30" t="n">
        <v>11717</v>
      </c>
      <c r="E154" s="31" t="s">
        <v>317</v>
      </c>
      <c r="F154" s="30" t="s">
        <v>240</v>
      </c>
      <c r="G154" s="32" t="n">
        <v>33</v>
      </c>
      <c r="H154" s="32" t="n">
        <v>33</v>
      </c>
    </row>
    <row r="155" customFormat="false" ht="15.75" hidden="false" customHeight="false" outlineLevel="0" collapsed="false">
      <c r="B155" s="17" t="s">
        <v>318</v>
      </c>
      <c r="C155" s="30" t="s">
        <v>34</v>
      </c>
      <c r="D155" s="30" t="s">
        <v>319</v>
      </c>
      <c r="E155" s="34" t="s">
        <v>320</v>
      </c>
      <c r="F155" s="30" t="s">
        <v>240</v>
      </c>
      <c r="G155" s="32" t="n">
        <v>4</v>
      </c>
      <c r="H155" s="32" t="n">
        <v>4</v>
      </c>
    </row>
    <row r="156" customFormat="false" ht="15.75" hidden="false" customHeight="false" outlineLevel="0" collapsed="false">
      <c r="B156" s="17" t="s">
        <v>321</v>
      </c>
      <c r="C156" s="33" t="s">
        <v>14</v>
      </c>
      <c r="D156" s="30" t="n">
        <v>11881</v>
      </c>
      <c r="E156" s="31" t="s">
        <v>322</v>
      </c>
      <c r="F156" s="30" t="s">
        <v>240</v>
      </c>
      <c r="G156" s="32" t="n">
        <v>4</v>
      </c>
      <c r="H156" s="32" t="n">
        <v>4</v>
      </c>
    </row>
    <row r="157" customFormat="false" ht="31.5" hidden="false" customHeight="false" outlineLevel="0" collapsed="false">
      <c r="B157" s="17" t="s">
        <v>323</v>
      </c>
      <c r="C157" s="33" t="s">
        <v>34</v>
      </c>
      <c r="D157" s="30" t="s">
        <v>324</v>
      </c>
      <c r="E157" s="31" t="s">
        <v>325</v>
      </c>
      <c r="F157" s="30" t="s">
        <v>240</v>
      </c>
      <c r="G157" s="32" t="n">
        <v>20</v>
      </c>
      <c r="H157" s="32" t="n">
        <v>20</v>
      </c>
    </row>
    <row r="158" customFormat="false" ht="15.75" hidden="false" customHeight="false" outlineLevel="0" collapsed="false">
      <c r="B158" s="17" t="s">
        <v>326</v>
      </c>
      <c r="C158" s="30" t="s">
        <v>14</v>
      </c>
      <c r="D158" s="30" t="n">
        <v>6149</v>
      </c>
      <c r="E158" s="31" t="s">
        <v>327</v>
      </c>
      <c r="F158" s="30" t="s">
        <v>240</v>
      </c>
      <c r="G158" s="32" t="n">
        <v>42</v>
      </c>
      <c r="H158" s="32" t="n">
        <v>42</v>
      </c>
    </row>
    <row r="159" customFormat="false" ht="15.75" hidden="false" customHeight="false" outlineLevel="0" collapsed="false">
      <c r="B159" s="17" t="s">
        <v>328</v>
      </c>
      <c r="C159" s="30" t="s">
        <v>14</v>
      </c>
      <c r="D159" s="30" t="n">
        <v>89406</v>
      </c>
      <c r="E159" s="31" t="s">
        <v>329</v>
      </c>
      <c r="F159" s="30" t="s">
        <v>240</v>
      </c>
      <c r="G159" s="32" t="n">
        <v>11</v>
      </c>
      <c r="H159" s="32" t="n">
        <v>11</v>
      </c>
    </row>
    <row r="160" customFormat="false" ht="15.75" hidden="false" customHeight="false" outlineLevel="0" collapsed="false">
      <c r="B160" s="17" t="s">
        <v>330</v>
      </c>
      <c r="C160" s="30" t="s">
        <v>14</v>
      </c>
      <c r="D160" s="30" t="n">
        <v>1956</v>
      </c>
      <c r="E160" s="31" t="s">
        <v>331</v>
      </c>
      <c r="F160" s="30" t="s">
        <v>240</v>
      </c>
      <c r="G160" s="32" t="n">
        <f aca="false">96+41</f>
        <v>137</v>
      </c>
      <c r="H160" s="32" t="n">
        <f aca="false">96+41</f>
        <v>137</v>
      </c>
    </row>
    <row r="161" customFormat="false" ht="15.75" hidden="false" customHeight="false" outlineLevel="0" collapsed="false">
      <c r="B161" s="17" t="s">
        <v>332</v>
      </c>
      <c r="C161" s="30" t="s">
        <v>14</v>
      </c>
      <c r="D161" s="30" t="n">
        <v>1959</v>
      </c>
      <c r="E161" s="31" t="s">
        <v>333</v>
      </c>
      <c r="F161" s="30" t="s">
        <v>240</v>
      </c>
      <c r="G161" s="32" t="n">
        <f aca="false">27+28</f>
        <v>55</v>
      </c>
      <c r="H161" s="32" t="n">
        <f aca="false">27+28</f>
        <v>55</v>
      </c>
    </row>
    <row r="162" customFormat="false" ht="15.75" hidden="false" customHeight="false" outlineLevel="0" collapsed="false">
      <c r="B162" s="17" t="s">
        <v>334</v>
      </c>
      <c r="C162" s="30" t="s">
        <v>14</v>
      </c>
      <c r="D162" s="30" t="n">
        <v>1960</v>
      </c>
      <c r="E162" s="31" t="s">
        <v>335</v>
      </c>
      <c r="F162" s="30" t="s">
        <v>287</v>
      </c>
      <c r="G162" s="32" t="n">
        <v>7</v>
      </c>
      <c r="H162" s="32" t="n">
        <v>7</v>
      </c>
    </row>
    <row r="163" customFormat="false" ht="15.75" hidden="false" customHeight="false" outlineLevel="0" collapsed="false">
      <c r="B163" s="17" t="s">
        <v>336</v>
      </c>
      <c r="C163" s="30" t="s">
        <v>14</v>
      </c>
      <c r="D163" s="30" t="n">
        <v>1925</v>
      </c>
      <c r="E163" s="31" t="s">
        <v>337</v>
      </c>
      <c r="F163" s="30" t="s">
        <v>240</v>
      </c>
      <c r="G163" s="32" t="n">
        <v>11</v>
      </c>
      <c r="H163" s="32" t="n">
        <v>11</v>
      </c>
    </row>
    <row r="164" customFormat="false" ht="15.75" hidden="false" customHeight="false" outlineLevel="0" collapsed="false">
      <c r="B164" s="17" t="s">
        <v>338</v>
      </c>
      <c r="C164" s="30" t="s">
        <v>14</v>
      </c>
      <c r="D164" s="30" t="n">
        <v>1970</v>
      </c>
      <c r="E164" s="31" t="s">
        <v>339</v>
      </c>
      <c r="F164" s="30" t="s">
        <v>240</v>
      </c>
      <c r="G164" s="32" t="n">
        <v>21</v>
      </c>
      <c r="H164" s="32" t="n">
        <v>21</v>
      </c>
    </row>
    <row r="165" customFormat="false" ht="15.75" hidden="false" customHeight="false" outlineLevel="0" collapsed="false">
      <c r="B165" s="17" t="s">
        <v>340</v>
      </c>
      <c r="C165" s="30" t="s">
        <v>14</v>
      </c>
      <c r="D165" s="30" t="n">
        <v>1965</v>
      </c>
      <c r="E165" s="31" t="s">
        <v>341</v>
      </c>
      <c r="F165" s="30" t="s">
        <v>240</v>
      </c>
      <c r="G165" s="32" t="n">
        <v>24</v>
      </c>
      <c r="H165" s="32" t="n">
        <v>24</v>
      </c>
    </row>
    <row r="166" customFormat="false" ht="31.5" hidden="false" customHeight="false" outlineLevel="0" collapsed="false">
      <c r="B166" s="17" t="s">
        <v>342</v>
      </c>
      <c r="C166" s="30" t="s">
        <v>14</v>
      </c>
      <c r="D166" s="30" t="n">
        <v>1368</v>
      </c>
      <c r="E166" s="31" t="s">
        <v>343</v>
      </c>
      <c r="F166" s="30" t="s">
        <v>240</v>
      </c>
      <c r="G166" s="32" t="n">
        <v>22</v>
      </c>
      <c r="H166" s="32" t="n">
        <v>22</v>
      </c>
    </row>
    <row r="167" customFormat="false" ht="31.5" hidden="false" customHeight="false" outlineLevel="0" collapsed="false">
      <c r="B167" s="17" t="s">
        <v>344</v>
      </c>
      <c r="C167" s="35" t="s">
        <v>14</v>
      </c>
      <c r="D167" s="35" t="n">
        <v>1370</v>
      </c>
      <c r="E167" s="31" t="s">
        <v>345</v>
      </c>
      <c r="F167" s="30" t="s">
        <v>346</v>
      </c>
      <c r="G167" s="32" t="n">
        <v>20</v>
      </c>
      <c r="H167" s="32" t="n">
        <v>20</v>
      </c>
    </row>
    <row r="168" customFormat="false" ht="15.75" hidden="false" customHeight="false" outlineLevel="0" collapsed="false">
      <c r="B168" s="17" t="s">
        <v>347</v>
      </c>
      <c r="C168" s="30" t="s">
        <v>14</v>
      </c>
      <c r="D168" s="30" t="n">
        <v>10765</v>
      </c>
      <c r="E168" s="31" t="s">
        <v>348</v>
      </c>
      <c r="F168" s="30" t="s">
        <v>240</v>
      </c>
      <c r="G168" s="32" t="n">
        <v>22</v>
      </c>
      <c r="H168" s="32" t="n">
        <v>22</v>
      </c>
    </row>
    <row r="169" customFormat="false" ht="15.75" hidden="false" customHeight="false" outlineLevel="0" collapsed="false">
      <c r="B169" s="17" t="s">
        <v>349</v>
      </c>
      <c r="C169" s="30" t="s">
        <v>14</v>
      </c>
      <c r="D169" s="30" t="n">
        <v>1966</v>
      </c>
      <c r="E169" s="31" t="s">
        <v>350</v>
      </c>
      <c r="F169" s="30" t="s">
        <v>240</v>
      </c>
      <c r="G169" s="32" t="n">
        <v>22</v>
      </c>
      <c r="H169" s="32" t="n">
        <v>22</v>
      </c>
    </row>
    <row r="170" customFormat="false" ht="15.75" hidden="false" customHeight="false" outlineLevel="0" collapsed="false">
      <c r="B170" s="17" t="s">
        <v>351</v>
      </c>
      <c r="C170" s="30" t="s">
        <v>14</v>
      </c>
      <c r="D170" s="30" t="n">
        <v>89728</v>
      </c>
      <c r="E170" s="31" t="s">
        <v>352</v>
      </c>
      <c r="F170" s="30" t="s">
        <v>240</v>
      </c>
      <c r="G170" s="32" t="n">
        <v>45</v>
      </c>
      <c r="H170" s="32" t="n">
        <v>45</v>
      </c>
    </row>
    <row r="171" customFormat="false" ht="15.75" hidden="false" customHeight="false" outlineLevel="0" collapsed="false">
      <c r="B171" s="17" t="s">
        <v>353</v>
      </c>
      <c r="C171" s="30" t="s">
        <v>14</v>
      </c>
      <c r="D171" s="30" t="n">
        <v>89358</v>
      </c>
      <c r="E171" s="31" t="s">
        <v>354</v>
      </c>
      <c r="F171" s="30" t="s">
        <v>240</v>
      </c>
      <c r="G171" s="32" t="n">
        <v>1</v>
      </c>
      <c r="H171" s="32" t="n">
        <v>1</v>
      </c>
    </row>
    <row r="172" customFormat="false" ht="15.75" hidden="false" customHeight="false" outlineLevel="0" collapsed="false">
      <c r="B172" s="17" t="s">
        <v>355</v>
      </c>
      <c r="C172" s="30" t="s">
        <v>14</v>
      </c>
      <c r="D172" s="30" t="n">
        <v>20147</v>
      </c>
      <c r="E172" s="31" t="s">
        <v>356</v>
      </c>
      <c r="F172" s="30" t="s">
        <v>240</v>
      </c>
      <c r="G172" s="32" t="n">
        <v>44</v>
      </c>
      <c r="H172" s="32" t="n">
        <v>44</v>
      </c>
    </row>
    <row r="173" customFormat="false" ht="15.75" hidden="false" customHeight="false" outlineLevel="0" collapsed="false">
      <c r="B173" s="17" t="s">
        <v>357</v>
      </c>
      <c r="C173" s="30" t="s">
        <v>14</v>
      </c>
      <c r="D173" s="30" t="n">
        <v>3489</v>
      </c>
      <c r="E173" s="31" t="s">
        <v>358</v>
      </c>
      <c r="F173" s="30" t="s">
        <v>240</v>
      </c>
      <c r="G173" s="32" t="n">
        <v>29</v>
      </c>
      <c r="H173" s="32" t="n">
        <v>29</v>
      </c>
    </row>
    <row r="174" customFormat="false" ht="15.75" hidden="false" customHeight="false" outlineLevel="0" collapsed="false">
      <c r="B174" s="17" t="s">
        <v>359</v>
      </c>
      <c r="C174" s="30" t="s">
        <v>14</v>
      </c>
      <c r="D174" s="30" t="n">
        <v>3481</v>
      </c>
      <c r="E174" s="31" t="s">
        <v>360</v>
      </c>
      <c r="F174" s="30" t="s">
        <v>240</v>
      </c>
      <c r="G174" s="32" t="n">
        <v>4</v>
      </c>
      <c r="H174" s="32" t="n">
        <v>4</v>
      </c>
    </row>
    <row r="175" customFormat="false" ht="15.75" hidden="false" customHeight="false" outlineLevel="0" collapsed="false">
      <c r="B175" s="17" t="s">
        <v>361</v>
      </c>
      <c r="C175" s="30" t="s">
        <v>14</v>
      </c>
      <c r="D175" s="30" t="n">
        <v>3521</v>
      </c>
      <c r="E175" s="31" t="s">
        <v>362</v>
      </c>
      <c r="F175" s="30" t="s">
        <v>240</v>
      </c>
      <c r="G175" s="32" t="n">
        <v>4</v>
      </c>
      <c r="H175" s="32" t="n">
        <v>4</v>
      </c>
    </row>
    <row r="176" customFormat="false" ht="15.75" hidden="false" customHeight="false" outlineLevel="0" collapsed="false">
      <c r="B176" s="17" t="s">
        <v>363</v>
      </c>
      <c r="C176" s="30" t="s">
        <v>14</v>
      </c>
      <c r="D176" s="30" t="n">
        <v>38436</v>
      </c>
      <c r="E176" s="31" t="s">
        <v>364</v>
      </c>
      <c r="F176" s="30" t="s">
        <v>240</v>
      </c>
      <c r="G176" s="32" t="n">
        <v>28</v>
      </c>
      <c r="H176" s="32" t="n">
        <v>28</v>
      </c>
    </row>
    <row r="177" customFormat="false" ht="31.5" hidden="false" customHeight="false" outlineLevel="0" collapsed="false">
      <c r="B177" s="17" t="s">
        <v>365</v>
      </c>
      <c r="C177" s="30" t="s">
        <v>14</v>
      </c>
      <c r="D177" s="30" t="n">
        <v>3481</v>
      </c>
      <c r="E177" s="31" t="s">
        <v>366</v>
      </c>
      <c r="F177" s="30" t="s">
        <v>240</v>
      </c>
      <c r="G177" s="32" t="n">
        <v>40</v>
      </c>
      <c r="H177" s="32" t="n">
        <v>40</v>
      </c>
    </row>
    <row r="178" customFormat="false" ht="15.75" hidden="false" customHeight="false" outlineLevel="0" collapsed="false">
      <c r="B178" s="17" t="s">
        <v>367</v>
      </c>
      <c r="C178" s="30" t="s">
        <v>14</v>
      </c>
      <c r="D178" s="30" t="n">
        <v>7138</v>
      </c>
      <c r="E178" s="31" t="s">
        <v>368</v>
      </c>
      <c r="F178" s="30" t="s">
        <v>240</v>
      </c>
      <c r="G178" s="32" t="n">
        <v>2</v>
      </c>
      <c r="H178" s="32" t="n">
        <v>2</v>
      </c>
    </row>
    <row r="179" customFormat="false" ht="15.75" hidden="false" customHeight="false" outlineLevel="0" collapsed="false">
      <c r="B179" s="17" t="s">
        <v>369</v>
      </c>
      <c r="C179" s="30" t="s">
        <v>14</v>
      </c>
      <c r="D179" s="30" t="n">
        <v>7139</v>
      </c>
      <c r="E179" s="31" t="s">
        <v>370</v>
      </c>
      <c r="F179" s="30" t="s">
        <v>240</v>
      </c>
      <c r="G179" s="32" t="n">
        <v>3</v>
      </c>
      <c r="H179" s="32" t="n">
        <v>3</v>
      </c>
    </row>
    <row r="180" customFormat="false" ht="15.75" hidden="false" customHeight="false" outlineLevel="0" collapsed="false">
      <c r="B180" s="17" t="s">
        <v>371</v>
      </c>
      <c r="C180" s="30" t="s">
        <v>14</v>
      </c>
      <c r="D180" s="30" t="n">
        <v>7142</v>
      </c>
      <c r="E180" s="31" t="s">
        <v>372</v>
      </c>
      <c r="F180" s="30" t="s">
        <v>240</v>
      </c>
      <c r="G180" s="32" t="n">
        <v>3</v>
      </c>
      <c r="H180" s="32" t="n">
        <v>3</v>
      </c>
    </row>
    <row r="181" customFormat="false" ht="15.75" hidden="false" customHeight="false" outlineLevel="0" collapsed="false">
      <c r="B181" s="17" t="s">
        <v>373</v>
      </c>
      <c r="C181" s="30" t="s">
        <v>14</v>
      </c>
      <c r="D181" s="30" t="n">
        <v>7143</v>
      </c>
      <c r="E181" s="31" t="s">
        <v>374</v>
      </c>
      <c r="F181" s="30" t="s">
        <v>240</v>
      </c>
      <c r="G181" s="32" t="n">
        <v>26</v>
      </c>
      <c r="H181" s="32" t="n">
        <v>26</v>
      </c>
    </row>
    <row r="182" customFormat="false" ht="15.75" hidden="false" customHeight="false" outlineLevel="0" collapsed="false">
      <c r="B182" s="17" t="s">
        <v>375</v>
      </c>
      <c r="C182" s="30" t="s">
        <v>14</v>
      </c>
      <c r="D182" s="30" t="n">
        <v>7144</v>
      </c>
      <c r="E182" s="31" t="s">
        <v>376</v>
      </c>
      <c r="F182" s="30" t="s">
        <v>240</v>
      </c>
      <c r="G182" s="32" t="n">
        <v>3</v>
      </c>
      <c r="H182" s="32" t="n">
        <v>3</v>
      </c>
    </row>
    <row r="183" customFormat="false" ht="15.75" hidden="false" customHeight="false" outlineLevel="0" collapsed="false">
      <c r="B183" s="17" t="s">
        <v>377</v>
      </c>
      <c r="C183" s="30" t="s">
        <v>14</v>
      </c>
      <c r="D183" s="30" t="n">
        <v>7122</v>
      </c>
      <c r="E183" s="31" t="s">
        <v>378</v>
      </c>
      <c r="F183" s="30" t="s">
        <v>240</v>
      </c>
      <c r="G183" s="32" t="n">
        <v>5</v>
      </c>
      <c r="H183" s="32" t="n">
        <v>5</v>
      </c>
    </row>
    <row r="184" customFormat="false" ht="15.75" hidden="false" customHeight="false" outlineLevel="0" collapsed="false">
      <c r="B184" s="17" t="s">
        <v>379</v>
      </c>
      <c r="C184" s="30" t="s">
        <v>14</v>
      </c>
      <c r="D184" s="30" t="n">
        <v>7137</v>
      </c>
      <c r="E184" s="31" t="s">
        <v>380</v>
      </c>
      <c r="F184" s="30" t="s">
        <v>240</v>
      </c>
      <c r="G184" s="32" t="n">
        <v>10</v>
      </c>
      <c r="H184" s="32" t="n">
        <v>10</v>
      </c>
    </row>
    <row r="185" customFormat="false" ht="15.75" hidden="false" customHeight="false" outlineLevel="0" collapsed="false">
      <c r="B185" s="17" t="s">
        <v>381</v>
      </c>
      <c r="C185" s="30" t="s">
        <v>14</v>
      </c>
      <c r="D185" s="30" t="n">
        <v>7129</v>
      </c>
      <c r="E185" s="31" t="s">
        <v>382</v>
      </c>
      <c r="F185" s="30" t="s">
        <v>240</v>
      </c>
      <c r="G185" s="32" t="n">
        <v>31</v>
      </c>
      <c r="H185" s="32" t="n">
        <v>31</v>
      </c>
    </row>
    <row r="186" customFormat="false" ht="15.75" hidden="false" customHeight="false" outlineLevel="0" collapsed="false">
      <c r="B186" s="17" t="s">
        <v>383</v>
      </c>
      <c r="C186" s="30" t="s">
        <v>14</v>
      </c>
      <c r="D186" s="30" t="n">
        <v>7132</v>
      </c>
      <c r="E186" s="31" t="s">
        <v>384</v>
      </c>
      <c r="F186" s="30" t="s">
        <v>240</v>
      </c>
      <c r="G186" s="32" t="n">
        <v>5</v>
      </c>
      <c r="H186" s="32" t="n">
        <v>5</v>
      </c>
    </row>
    <row r="187" customFormat="false" ht="15.75" hidden="false" customHeight="false" outlineLevel="0" collapsed="false">
      <c r="B187" s="17" t="s">
        <v>385</v>
      </c>
      <c r="C187" s="30" t="s">
        <v>14</v>
      </c>
      <c r="D187" s="30" t="n">
        <v>7097</v>
      </c>
      <c r="E187" s="31" t="s">
        <v>386</v>
      </c>
      <c r="F187" s="30" t="s">
        <v>240</v>
      </c>
      <c r="G187" s="32" t="n">
        <v>18</v>
      </c>
      <c r="H187" s="32" t="n">
        <v>18</v>
      </c>
    </row>
    <row r="188" customFormat="false" ht="15.75" hidden="false" customHeight="false" outlineLevel="0" collapsed="false">
      <c r="B188" s="17" t="s">
        <v>387</v>
      </c>
      <c r="C188" s="30" t="s">
        <v>14</v>
      </c>
      <c r="D188" s="30" t="n">
        <v>813</v>
      </c>
      <c r="E188" s="31" t="s">
        <v>388</v>
      </c>
      <c r="F188" s="30" t="s">
        <v>240</v>
      </c>
      <c r="G188" s="32" t="n">
        <v>23</v>
      </c>
      <c r="H188" s="32" t="n">
        <v>23</v>
      </c>
    </row>
    <row r="189" customFormat="false" ht="15.75" hidden="false" customHeight="false" outlineLevel="0" collapsed="false">
      <c r="B189" s="17" t="s">
        <v>389</v>
      </c>
      <c r="C189" s="30" t="s">
        <v>14</v>
      </c>
      <c r="D189" s="30" t="n">
        <v>822</v>
      </c>
      <c r="E189" s="31" t="s">
        <v>390</v>
      </c>
      <c r="F189" s="30" t="s">
        <v>240</v>
      </c>
      <c r="G189" s="32" t="n">
        <v>22</v>
      </c>
      <c r="H189" s="32" t="n">
        <v>22</v>
      </c>
    </row>
    <row r="190" customFormat="false" ht="15.75" hidden="false" customHeight="false" outlineLevel="0" collapsed="false">
      <c r="B190" s="17" t="s">
        <v>391</v>
      </c>
      <c r="C190" s="30" t="s">
        <v>14</v>
      </c>
      <c r="D190" s="30" t="n">
        <v>818</v>
      </c>
      <c r="E190" s="31" t="s">
        <v>392</v>
      </c>
      <c r="F190" s="30" t="s">
        <v>240</v>
      </c>
      <c r="G190" s="32" t="n">
        <v>15</v>
      </c>
      <c r="H190" s="32" t="n">
        <v>15</v>
      </c>
    </row>
    <row r="191" customFormat="false" ht="15.75" hidden="false" customHeight="false" outlineLevel="0" collapsed="false">
      <c r="B191" s="17" t="s">
        <v>393</v>
      </c>
      <c r="C191" s="30" t="s">
        <v>14</v>
      </c>
      <c r="D191" s="30" t="n">
        <v>823</v>
      </c>
      <c r="E191" s="31" t="s">
        <v>394</v>
      </c>
      <c r="F191" s="30" t="s">
        <v>240</v>
      </c>
      <c r="G191" s="32" t="n">
        <v>6</v>
      </c>
      <c r="H191" s="32" t="n">
        <v>6</v>
      </c>
    </row>
    <row r="192" customFormat="false" ht="15.75" hidden="false" customHeight="false" outlineLevel="0" collapsed="false">
      <c r="B192" s="17" t="s">
        <v>395</v>
      </c>
      <c r="C192" s="30" t="s">
        <v>14</v>
      </c>
      <c r="D192" s="30" t="n">
        <v>3659</v>
      </c>
      <c r="E192" s="31" t="s">
        <v>396</v>
      </c>
      <c r="F192" s="30" t="s">
        <v>240</v>
      </c>
      <c r="G192" s="32" t="n">
        <v>29</v>
      </c>
      <c r="H192" s="32" t="n">
        <v>29</v>
      </c>
    </row>
    <row r="193" customFormat="false" ht="15.75" hidden="false" customHeight="false" outlineLevel="0" collapsed="false">
      <c r="B193" s="17" t="s">
        <v>397</v>
      </c>
      <c r="C193" s="30" t="s">
        <v>14</v>
      </c>
      <c r="D193" s="30" t="n">
        <v>20144</v>
      </c>
      <c r="E193" s="31" t="s">
        <v>398</v>
      </c>
      <c r="F193" s="30" t="s">
        <v>240</v>
      </c>
      <c r="G193" s="32" t="n">
        <v>14</v>
      </c>
      <c r="H193" s="32" t="n">
        <v>14</v>
      </c>
    </row>
    <row r="194" customFormat="false" ht="15.75" hidden="false" customHeight="false" outlineLevel="0" collapsed="false">
      <c r="B194" s="17" t="s">
        <v>399</v>
      </c>
      <c r="C194" s="30" t="s">
        <v>14</v>
      </c>
      <c r="D194" s="30" t="n">
        <v>3662</v>
      </c>
      <c r="E194" s="31" t="s">
        <v>400</v>
      </c>
      <c r="F194" s="30" t="s">
        <v>240</v>
      </c>
      <c r="G194" s="32" t="n">
        <v>2</v>
      </c>
      <c r="H194" s="32" t="n">
        <v>2</v>
      </c>
    </row>
    <row r="195" customFormat="false" ht="15.75" hidden="false" customHeight="false" outlineLevel="0" collapsed="false">
      <c r="B195" s="17" t="s">
        <v>401</v>
      </c>
      <c r="C195" s="30" t="s">
        <v>14</v>
      </c>
      <c r="D195" s="30" t="n">
        <v>3661</v>
      </c>
      <c r="E195" s="31" t="s">
        <v>402</v>
      </c>
      <c r="F195" s="30" t="s">
        <v>240</v>
      </c>
      <c r="G195" s="32" t="n">
        <v>2</v>
      </c>
      <c r="H195" s="32" t="n">
        <v>2</v>
      </c>
    </row>
    <row r="196" customFormat="false" ht="15.75" hidden="false" customHeight="false" outlineLevel="0" collapsed="false">
      <c r="B196" s="17" t="s">
        <v>403</v>
      </c>
      <c r="C196" s="30" t="s">
        <v>14</v>
      </c>
      <c r="D196" s="30" t="n">
        <v>3658</v>
      </c>
      <c r="E196" s="31" t="s">
        <v>404</v>
      </c>
      <c r="F196" s="30" t="s">
        <v>240</v>
      </c>
      <c r="G196" s="32" t="n">
        <v>1</v>
      </c>
      <c r="H196" s="32" t="n">
        <v>1</v>
      </c>
    </row>
    <row r="197" customFormat="false" ht="15.75" hidden="false" customHeight="false" outlineLevel="0" collapsed="false">
      <c r="B197" s="17" t="s">
        <v>405</v>
      </c>
      <c r="C197" s="30" t="s">
        <v>14</v>
      </c>
      <c r="D197" s="30" t="n">
        <v>3497</v>
      </c>
      <c r="E197" s="31" t="s">
        <v>406</v>
      </c>
      <c r="F197" s="30" t="s">
        <v>240</v>
      </c>
      <c r="G197" s="32" t="n">
        <v>2</v>
      </c>
      <c r="H197" s="32" t="n">
        <v>2</v>
      </c>
    </row>
    <row r="198" customFormat="false" ht="15.75" hidden="false" customHeight="false" outlineLevel="0" collapsed="false">
      <c r="B198" s="17" t="s">
        <v>407</v>
      </c>
      <c r="C198" s="30" t="s">
        <v>14</v>
      </c>
      <c r="D198" s="30" t="n">
        <v>3906</v>
      </c>
      <c r="E198" s="31" t="s">
        <v>408</v>
      </c>
      <c r="F198" s="30" t="s">
        <v>240</v>
      </c>
      <c r="G198" s="32" t="n">
        <v>23</v>
      </c>
      <c r="H198" s="32" t="n">
        <v>23</v>
      </c>
    </row>
    <row r="199" customFormat="false" ht="15.75" hidden="false" customHeight="false" outlineLevel="0" collapsed="false">
      <c r="B199" s="17" t="s">
        <v>409</v>
      </c>
      <c r="C199" s="30" t="s">
        <v>14</v>
      </c>
      <c r="D199" s="30" t="n">
        <v>11772</v>
      </c>
      <c r="E199" s="31" t="s">
        <v>410</v>
      </c>
      <c r="F199" s="30" t="s">
        <v>240</v>
      </c>
      <c r="G199" s="32" t="n">
        <v>4</v>
      </c>
      <c r="H199" s="32" t="n">
        <v>4</v>
      </c>
    </row>
    <row r="200" customFormat="false" ht="15.75" hidden="false" customHeight="false" outlineLevel="0" collapsed="false">
      <c r="B200" s="17" t="s">
        <v>411</v>
      </c>
      <c r="C200" s="30" t="s">
        <v>14</v>
      </c>
      <c r="D200" s="30" t="n">
        <v>11762</v>
      </c>
      <c r="E200" s="31" t="s">
        <v>412</v>
      </c>
      <c r="F200" s="30" t="s">
        <v>240</v>
      </c>
      <c r="G200" s="32" t="n">
        <v>9</v>
      </c>
      <c r="H200" s="32" t="n">
        <v>9</v>
      </c>
    </row>
    <row r="201" customFormat="false" ht="15.75" hidden="false" customHeight="false" outlineLevel="0" collapsed="false">
      <c r="B201" s="17" t="s">
        <v>413</v>
      </c>
      <c r="C201" s="30" t="s">
        <v>14</v>
      </c>
      <c r="D201" s="30" t="n">
        <v>13984</v>
      </c>
      <c r="E201" s="31" t="s">
        <v>414</v>
      </c>
      <c r="F201" s="30" t="s">
        <v>240</v>
      </c>
      <c r="G201" s="32" t="n">
        <v>34</v>
      </c>
      <c r="H201" s="32" t="n">
        <v>34</v>
      </c>
    </row>
    <row r="202" customFormat="false" ht="63" hidden="false" customHeight="false" outlineLevel="0" collapsed="false">
      <c r="B202" s="17" t="s">
        <v>415</v>
      </c>
      <c r="C202" s="30" t="s">
        <v>34</v>
      </c>
      <c r="D202" s="36" t="s">
        <v>416</v>
      </c>
      <c r="E202" s="31" t="s">
        <v>417</v>
      </c>
      <c r="F202" s="30" t="s">
        <v>240</v>
      </c>
      <c r="G202" s="32" t="n">
        <v>4</v>
      </c>
      <c r="H202" s="32" t="n">
        <v>4</v>
      </c>
    </row>
    <row r="203" customFormat="false" ht="15.75" hidden="false" customHeight="false" outlineLevel="0" collapsed="false">
      <c r="B203" s="7" t="n">
        <v>2</v>
      </c>
      <c r="C203" s="7"/>
      <c r="D203" s="7"/>
      <c r="E203" s="8" t="s">
        <v>418</v>
      </c>
      <c r="F203" s="7"/>
      <c r="G203" s="7"/>
      <c r="H203" s="7"/>
    </row>
    <row r="204" customFormat="false" ht="15.75" hidden="false" customHeight="false" outlineLevel="0" collapsed="false">
      <c r="B204" s="17" t="s">
        <v>28</v>
      </c>
      <c r="C204" s="30" t="s">
        <v>34</v>
      </c>
      <c r="D204" s="37" t="s">
        <v>419</v>
      </c>
      <c r="E204" s="31" t="s">
        <v>420</v>
      </c>
      <c r="F204" s="30" t="s">
        <v>240</v>
      </c>
      <c r="G204" s="32" t="n">
        <v>10</v>
      </c>
      <c r="H204" s="32" t="n">
        <v>10</v>
      </c>
    </row>
    <row r="205" customFormat="false" ht="15.75" hidden="false" customHeight="false" outlineLevel="0" collapsed="false">
      <c r="B205" s="17" t="s">
        <v>117</v>
      </c>
      <c r="C205" s="30" t="s">
        <v>34</v>
      </c>
      <c r="D205" s="37" t="s">
        <v>421</v>
      </c>
      <c r="E205" s="31" t="s">
        <v>422</v>
      </c>
      <c r="F205" s="30" t="s">
        <v>240</v>
      </c>
      <c r="G205" s="32" t="n">
        <v>6</v>
      </c>
      <c r="H205" s="32" t="n">
        <v>6</v>
      </c>
    </row>
    <row r="206" customFormat="false" ht="15.75" hidden="false" customHeight="false" outlineLevel="0" collapsed="false">
      <c r="B206" s="17" t="s">
        <v>121</v>
      </c>
      <c r="C206" s="30" t="s">
        <v>34</v>
      </c>
      <c r="D206" s="37" t="s">
        <v>423</v>
      </c>
      <c r="E206" s="31" t="s">
        <v>424</v>
      </c>
      <c r="F206" s="30" t="s">
        <v>240</v>
      </c>
      <c r="G206" s="32" t="n">
        <v>12</v>
      </c>
      <c r="H206" s="32" t="n">
        <v>12</v>
      </c>
    </row>
    <row r="207" customFormat="false" ht="15.75" hidden="false" customHeight="false" outlineLevel="0" collapsed="false">
      <c r="B207" s="17" t="s">
        <v>124</v>
      </c>
      <c r="C207" s="30" t="s">
        <v>14</v>
      </c>
      <c r="D207" s="37" t="s">
        <v>425</v>
      </c>
      <c r="E207" s="31" t="s">
        <v>426</v>
      </c>
      <c r="F207" s="30" t="s">
        <v>240</v>
      </c>
      <c r="G207" s="32" t="n">
        <v>33</v>
      </c>
      <c r="H207" s="32" t="n">
        <v>33</v>
      </c>
    </row>
    <row r="208" customFormat="false" ht="15.75" hidden="false" customHeight="false" outlineLevel="0" collapsed="false">
      <c r="B208" s="17" t="s">
        <v>427</v>
      </c>
      <c r="C208" s="30" t="s">
        <v>34</v>
      </c>
      <c r="D208" s="37" t="s">
        <v>428</v>
      </c>
      <c r="E208" s="31" t="s">
        <v>429</v>
      </c>
      <c r="F208" s="30" t="s">
        <v>240</v>
      </c>
      <c r="G208" s="32" t="n">
        <v>7</v>
      </c>
      <c r="H208" s="32" t="n">
        <v>7</v>
      </c>
    </row>
    <row r="209" customFormat="false" ht="15.75" hidden="false" customHeight="false" outlineLevel="0" collapsed="false">
      <c r="B209" s="17" t="s">
        <v>430</v>
      </c>
      <c r="C209" s="30" t="s">
        <v>14</v>
      </c>
      <c r="D209" s="37" t="s">
        <v>431</v>
      </c>
      <c r="E209" s="31" t="s">
        <v>432</v>
      </c>
      <c r="F209" s="30" t="s">
        <v>240</v>
      </c>
      <c r="G209" s="32" t="n">
        <v>3</v>
      </c>
      <c r="H209" s="32" t="n">
        <v>3</v>
      </c>
    </row>
    <row r="210" customFormat="false" ht="15.75" hidden="false" customHeight="false" outlineLevel="0" collapsed="false">
      <c r="B210" s="17" t="s">
        <v>433</v>
      </c>
      <c r="C210" s="30" t="s">
        <v>14</v>
      </c>
      <c r="D210" s="37" t="s">
        <v>434</v>
      </c>
      <c r="E210" s="31" t="s">
        <v>435</v>
      </c>
      <c r="F210" s="30" t="s">
        <v>240</v>
      </c>
      <c r="G210" s="32" t="n">
        <v>4</v>
      </c>
      <c r="H210" s="32" t="n">
        <v>4</v>
      </c>
    </row>
    <row r="211" customFormat="false" ht="15.75" hidden="false" customHeight="false" outlineLevel="0" collapsed="false">
      <c r="B211" s="17" t="s">
        <v>436</v>
      </c>
      <c r="C211" s="30" t="s">
        <v>34</v>
      </c>
      <c r="D211" s="37" t="s">
        <v>437</v>
      </c>
      <c r="E211" s="31" t="s">
        <v>438</v>
      </c>
      <c r="F211" s="30" t="s">
        <v>240</v>
      </c>
      <c r="G211" s="32" t="n">
        <v>1</v>
      </c>
      <c r="H211" s="32" t="n">
        <v>1</v>
      </c>
    </row>
    <row r="212" customFormat="false" ht="15.75" hidden="false" customHeight="false" outlineLevel="0" collapsed="false">
      <c r="B212" s="17" t="s">
        <v>439</v>
      </c>
      <c r="C212" s="30" t="s">
        <v>34</v>
      </c>
      <c r="D212" s="37" t="s">
        <v>440</v>
      </c>
      <c r="E212" s="31" t="s">
        <v>441</v>
      </c>
      <c r="F212" s="30" t="s">
        <v>240</v>
      </c>
      <c r="G212" s="32" t="n">
        <v>1</v>
      </c>
      <c r="H212" s="32" t="n">
        <v>1</v>
      </c>
    </row>
    <row r="213" customFormat="false" ht="15.75" hidden="false" customHeight="false" outlineLevel="0" collapsed="false">
      <c r="B213" s="17" t="s">
        <v>442</v>
      </c>
      <c r="C213" s="38" t="s">
        <v>34</v>
      </c>
      <c r="D213" s="39" t="s">
        <v>443</v>
      </c>
      <c r="E213" s="40" t="s">
        <v>444</v>
      </c>
      <c r="F213" s="38" t="s">
        <v>240</v>
      </c>
      <c r="G213" s="32" t="n">
        <v>1</v>
      </c>
      <c r="H213" s="32" t="n">
        <v>1</v>
      </c>
    </row>
    <row r="214" customFormat="false" ht="15.75" hidden="false" customHeight="false" outlineLevel="0" collapsed="false">
      <c r="B214" s="17" t="s">
        <v>445</v>
      </c>
      <c r="C214" s="38" t="s">
        <v>34</v>
      </c>
      <c r="D214" s="39" t="s">
        <v>446</v>
      </c>
      <c r="E214" s="40" t="s">
        <v>447</v>
      </c>
      <c r="F214" s="38" t="s">
        <v>240</v>
      </c>
      <c r="G214" s="32" t="n">
        <v>4</v>
      </c>
      <c r="H214" s="32" t="n">
        <v>4</v>
      </c>
    </row>
    <row r="215" customFormat="false" ht="15.75" hidden="false" customHeight="false" outlineLevel="0" collapsed="false">
      <c r="B215" s="7" t="n">
        <v>3</v>
      </c>
      <c r="C215" s="7"/>
      <c r="D215" s="7"/>
      <c r="E215" s="8" t="s">
        <v>448</v>
      </c>
      <c r="F215" s="7"/>
      <c r="G215" s="7"/>
      <c r="H215" s="7"/>
    </row>
    <row r="216" customFormat="false" ht="15.75" hidden="false" customHeight="false" outlineLevel="0" collapsed="false">
      <c r="B216" s="17" t="s">
        <v>33</v>
      </c>
      <c r="C216" s="30" t="s">
        <v>14</v>
      </c>
      <c r="D216" s="41" t="n">
        <v>38076</v>
      </c>
      <c r="E216" s="42" t="s">
        <v>449</v>
      </c>
      <c r="F216" s="43" t="s">
        <v>240</v>
      </c>
      <c r="G216" s="32" t="n">
        <v>8</v>
      </c>
      <c r="H216" s="32" t="n">
        <v>8</v>
      </c>
    </row>
    <row r="217" customFormat="false" ht="15.75" hidden="false" customHeight="false" outlineLevel="0" collapsed="false">
      <c r="B217" s="17" t="s">
        <v>38</v>
      </c>
      <c r="C217" s="30" t="s">
        <v>14</v>
      </c>
      <c r="D217" s="41" t="n">
        <v>38075</v>
      </c>
      <c r="E217" s="42" t="s">
        <v>450</v>
      </c>
      <c r="F217" s="43" t="s">
        <v>240</v>
      </c>
      <c r="G217" s="32" t="n">
        <f aca="false">41+39+77</f>
        <v>157</v>
      </c>
      <c r="H217" s="32" t="n">
        <f aca="false">41+39+77</f>
        <v>157</v>
      </c>
    </row>
    <row r="218" customFormat="false" ht="15.75" hidden="false" customHeight="false" outlineLevel="0" collapsed="false">
      <c r="B218" s="17" t="s">
        <v>41</v>
      </c>
      <c r="C218" s="30" t="s">
        <v>14</v>
      </c>
      <c r="D218" s="41" t="n">
        <v>38083</v>
      </c>
      <c r="E218" s="42" t="s">
        <v>451</v>
      </c>
      <c r="F218" s="43" t="s">
        <v>240</v>
      </c>
      <c r="G218" s="32" t="n">
        <v>7</v>
      </c>
      <c r="H218" s="32" t="n">
        <v>7</v>
      </c>
    </row>
    <row r="219" customFormat="false" ht="15.75" hidden="false" customHeight="false" outlineLevel="0" collapsed="false">
      <c r="B219" s="17" t="s">
        <v>45</v>
      </c>
      <c r="C219" s="30" t="s">
        <v>14</v>
      </c>
      <c r="D219" s="41" t="n">
        <v>38097</v>
      </c>
      <c r="E219" s="42" t="s">
        <v>452</v>
      </c>
      <c r="F219" s="43" t="s">
        <v>240</v>
      </c>
      <c r="G219" s="32" t="n">
        <v>7</v>
      </c>
      <c r="H219" s="32" t="n">
        <v>7</v>
      </c>
    </row>
    <row r="220" customFormat="false" ht="15.75" hidden="false" customHeight="false" outlineLevel="0" collapsed="false">
      <c r="B220" s="17" t="s">
        <v>47</v>
      </c>
      <c r="C220" s="30" t="s">
        <v>14</v>
      </c>
      <c r="D220" s="41" t="n">
        <v>38102</v>
      </c>
      <c r="E220" s="42" t="s">
        <v>453</v>
      </c>
      <c r="F220" s="43" t="s">
        <v>240</v>
      </c>
      <c r="G220" s="32" t="n">
        <v>16</v>
      </c>
      <c r="H220" s="32" t="n">
        <v>16</v>
      </c>
    </row>
    <row r="221" customFormat="false" ht="15.75" hidden="false" customHeight="false" outlineLevel="0" collapsed="false">
      <c r="B221" s="17" t="s">
        <v>50</v>
      </c>
      <c r="C221" s="30" t="s">
        <v>14</v>
      </c>
      <c r="D221" s="41" t="n">
        <v>2688</v>
      </c>
      <c r="E221" s="42" t="s">
        <v>454</v>
      </c>
      <c r="F221" s="43" t="s">
        <v>257</v>
      </c>
      <c r="G221" s="32" t="n">
        <v>1597.32</v>
      </c>
      <c r="H221" s="32" t="n">
        <v>1597.32</v>
      </c>
    </row>
    <row r="222" customFormat="false" ht="15.75" hidden="false" customHeight="false" outlineLevel="0" collapsed="false">
      <c r="B222" s="17" t="s">
        <v>141</v>
      </c>
      <c r="C222" s="30" t="s">
        <v>14</v>
      </c>
      <c r="D222" s="41" t="n">
        <v>38778</v>
      </c>
      <c r="E222" s="42" t="s">
        <v>455</v>
      </c>
      <c r="F222" s="43" t="s">
        <v>240</v>
      </c>
      <c r="G222" s="32" t="n">
        <f aca="false">63+2+46</f>
        <v>111</v>
      </c>
      <c r="H222" s="32" t="n">
        <f aca="false">63+2+46</f>
        <v>111</v>
      </c>
    </row>
    <row r="223" customFormat="false" ht="15.75" hidden="false" customHeight="false" outlineLevel="0" collapsed="false">
      <c r="B223" s="17" t="s">
        <v>456</v>
      </c>
      <c r="C223" s="30" t="s">
        <v>14</v>
      </c>
      <c r="D223" s="41" t="n">
        <v>2556</v>
      </c>
      <c r="E223" s="42" t="s">
        <v>457</v>
      </c>
      <c r="F223" s="43" t="s">
        <v>240</v>
      </c>
      <c r="G223" s="32" t="n">
        <f aca="false">23+12</f>
        <v>35</v>
      </c>
      <c r="H223" s="32" t="n">
        <f aca="false">23+12</f>
        <v>35</v>
      </c>
    </row>
    <row r="224" customFormat="false" ht="15.75" hidden="false" customHeight="false" outlineLevel="0" collapsed="false">
      <c r="B224" s="17" t="s">
        <v>458</v>
      </c>
      <c r="C224" s="30" t="s">
        <v>14</v>
      </c>
      <c r="D224" s="41" t="n">
        <v>2557</v>
      </c>
      <c r="E224" s="42" t="s">
        <v>459</v>
      </c>
      <c r="F224" s="43" t="s">
        <v>240</v>
      </c>
      <c r="G224" s="32" t="n">
        <f aca="false">80+41</f>
        <v>121</v>
      </c>
      <c r="H224" s="32" t="n">
        <f aca="false">80+41</f>
        <v>121</v>
      </c>
    </row>
    <row r="225" customFormat="false" ht="15.75" hidden="false" customHeight="false" outlineLevel="0" collapsed="false">
      <c r="B225" s="17" t="s">
        <v>460</v>
      </c>
      <c r="C225" s="30" t="s">
        <v>14</v>
      </c>
      <c r="D225" s="41" t="n">
        <v>39810</v>
      </c>
      <c r="E225" s="42" t="s">
        <v>461</v>
      </c>
      <c r="F225" s="43" t="s">
        <v>240</v>
      </c>
      <c r="G225" s="32" t="n">
        <v>3</v>
      </c>
      <c r="H225" s="32" t="n">
        <v>3</v>
      </c>
    </row>
    <row r="226" customFormat="false" ht="15.75" hidden="false" customHeight="false" outlineLevel="0" collapsed="false">
      <c r="B226" s="17" t="s">
        <v>462</v>
      </c>
      <c r="C226" s="30" t="s">
        <v>14</v>
      </c>
      <c r="D226" s="41" t="n">
        <v>38769</v>
      </c>
      <c r="E226" s="42" t="s">
        <v>463</v>
      </c>
      <c r="F226" s="43" t="s">
        <v>240</v>
      </c>
      <c r="G226" s="32" t="n">
        <f aca="false">3+10+9+3+8+9</f>
        <v>42</v>
      </c>
      <c r="H226" s="32" t="n">
        <f aca="false">3+10+9+3+8+9</f>
        <v>42</v>
      </c>
    </row>
    <row r="227" customFormat="false" ht="15.75" hidden="false" customHeight="false" outlineLevel="0" collapsed="false">
      <c r="B227" s="17" t="s">
        <v>464</v>
      </c>
      <c r="C227" s="30" t="s">
        <v>14</v>
      </c>
      <c r="D227" s="41" t="n">
        <v>38778</v>
      </c>
      <c r="E227" s="42" t="s">
        <v>465</v>
      </c>
      <c r="F227" s="43" t="s">
        <v>240</v>
      </c>
      <c r="G227" s="32" t="n">
        <v>27</v>
      </c>
      <c r="H227" s="32" t="n">
        <v>27</v>
      </c>
    </row>
    <row r="228" customFormat="false" ht="15.75" hidden="false" customHeight="false" outlineLevel="0" collapsed="false">
      <c r="B228" s="17" t="s">
        <v>466</v>
      </c>
      <c r="C228" s="30" t="s">
        <v>14</v>
      </c>
      <c r="D228" s="41" t="n">
        <v>38128</v>
      </c>
      <c r="E228" s="42" t="s">
        <v>467</v>
      </c>
      <c r="F228" s="43" t="s">
        <v>240</v>
      </c>
      <c r="G228" s="32" t="n">
        <f aca="false">16+12</f>
        <v>28</v>
      </c>
      <c r="H228" s="32" t="n">
        <f aca="false">16+12</f>
        <v>28</v>
      </c>
    </row>
    <row r="229" customFormat="false" ht="15.75" hidden="false" customHeight="false" outlineLevel="0" collapsed="false">
      <c r="B229" s="17" t="s">
        <v>468</v>
      </c>
      <c r="C229" s="30" t="s">
        <v>14</v>
      </c>
      <c r="D229" s="41" t="n">
        <v>38072</v>
      </c>
      <c r="E229" s="42" t="s">
        <v>469</v>
      </c>
      <c r="F229" s="43" t="s">
        <v>240</v>
      </c>
      <c r="G229" s="32" t="n">
        <f aca="false">7+9</f>
        <v>16</v>
      </c>
      <c r="H229" s="32" t="n">
        <f aca="false">7+9</f>
        <v>16</v>
      </c>
    </row>
    <row r="230" customFormat="false" ht="15.75" hidden="false" customHeight="false" outlineLevel="0" collapsed="false">
      <c r="B230" s="17" t="s">
        <v>470</v>
      </c>
      <c r="C230" s="30" t="s">
        <v>14</v>
      </c>
      <c r="D230" s="41" t="n">
        <v>38071</v>
      </c>
      <c r="E230" s="42" t="s">
        <v>471</v>
      </c>
      <c r="F230" s="43" t="s">
        <v>240</v>
      </c>
      <c r="G230" s="32" t="n">
        <f aca="false">15+4</f>
        <v>19</v>
      </c>
      <c r="H230" s="32" t="n">
        <f aca="false">15+4</f>
        <v>19</v>
      </c>
    </row>
    <row r="231" customFormat="false" ht="15.75" hidden="false" customHeight="false" outlineLevel="0" collapsed="false">
      <c r="B231" s="17" t="s">
        <v>472</v>
      </c>
      <c r="C231" s="30" t="s">
        <v>14</v>
      </c>
      <c r="D231" s="41" t="n">
        <v>38070</v>
      </c>
      <c r="E231" s="42" t="s">
        <v>473</v>
      </c>
      <c r="F231" s="43" t="s">
        <v>240</v>
      </c>
      <c r="G231" s="32" t="n">
        <f aca="false">19+6</f>
        <v>25</v>
      </c>
      <c r="H231" s="32" t="n">
        <f aca="false">19+6</f>
        <v>25</v>
      </c>
    </row>
    <row r="232" customFormat="false" ht="15.75" hidden="false" customHeight="false" outlineLevel="0" collapsed="false">
      <c r="B232" s="17" t="s">
        <v>474</v>
      </c>
      <c r="C232" s="30" t="s">
        <v>14</v>
      </c>
      <c r="D232" s="41" t="n">
        <v>38065</v>
      </c>
      <c r="E232" s="42" t="s">
        <v>475</v>
      </c>
      <c r="F232" s="43" t="s">
        <v>240</v>
      </c>
      <c r="G232" s="32" t="n">
        <f aca="false">5+1</f>
        <v>6</v>
      </c>
      <c r="H232" s="32" t="n">
        <f aca="false">5+1</f>
        <v>6</v>
      </c>
    </row>
    <row r="233" customFormat="false" ht="15.75" hidden="false" customHeight="false" outlineLevel="0" collapsed="false">
      <c r="B233" s="17" t="s">
        <v>476</v>
      </c>
      <c r="C233" s="30" t="s">
        <v>14</v>
      </c>
      <c r="D233" s="41" t="n">
        <v>38080</v>
      </c>
      <c r="E233" s="42" t="s">
        <v>477</v>
      </c>
      <c r="F233" s="43" t="s">
        <v>240</v>
      </c>
      <c r="G233" s="32" t="n">
        <f aca="false">21+9</f>
        <v>30</v>
      </c>
      <c r="H233" s="32" t="n">
        <f aca="false">21+9</f>
        <v>30</v>
      </c>
    </row>
    <row r="234" customFormat="false" ht="15.75" hidden="false" customHeight="false" outlineLevel="0" collapsed="false">
      <c r="B234" s="17" t="s">
        <v>478</v>
      </c>
      <c r="C234" s="30" t="s">
        <v>14</v>
      </c>
      <c r="D234" s="41" t="n">
        <v>39762</v>
      </c>
      <c r="E234" s="42" t="s">
        <v>479</v>
      </c>
      <c r="F234" s="43" t="s">
        <v>240</v>
      </c>
      <c r="G234" s="32" t="n">
        <v>3</v>
      </c>
      <c r="H234" s="32" t="n">
        <v>3</v>
      </c>
    </row>
    <row r="235" customFormat="false" ht="15.75" hidden="false" customHeight="false" outlineLevel="0" collapsed="false">
      <c r="B235" s="17" t="s">
        <v>480</v>
      </c>
      <c r="C235" s="30" t="s">
        <v>14</v>
      </c>
      <c r="D235" s="41" t="n">
        <v>984</v>
      </c>
      <c r="E235" s="42" t="s">
        <v>481</v>
      </c>
      <c r="F235" s="43" t="s">
        <v>482</v>
      </c>
      <c r="G235" s="32" t="n">
        <f aca="false">56.91+313.89+350.89</f>
        <v>721.69</v>
      </c>
      <c r="H235" s="32" t="n">
        <f aca="false">56.91+313.89+350.89</f>
        <v>721.69</v>
      </c>
    </row>
    <row r="236" customFormat="false" ht="15.75" hidden="false" customHeight="false" outlineLevel="0" collapsed="false">
      <c r="B236" s="17" t="s">
        <v>483</v>
      </c>
      <c r="C236" s="30" t="s">
        <v>14</v>
      </c>
      <c r="D236" s="41" t="n">
        <v>984</v>
      </c>
      <c r="E236" s="42" t="s">
        <v>484</v>
      </c>
      <c r="F236" s="43" t="s">
        <v>257</v>
      </c>
      <c r="G236" s="32" t="n">
        <f aca="false">52.45+224.88+280.47</f>
        <v>557.8</v>
      </c>
      <c r="H236" s="32" t="n">
        <f aca="false">52.45+224.88+280.47</f>
        <v>557.8</v>
      </c>
    </row>
    <row r="237" customFormat="false" ht="15.75" hidden="false" customHeight="false" outlineLevel="0" collapsed="false">
      <c r="B237" s="17" t="s">
        <v>485</v>
      </c>
      <c r="C237" s="30" t="s">
        <v>14</v>
      </c>
      <c r="D237" s="41" t="n">
        <v>984</v>
      </c>
      <c r="E237" s="42" t="s">
        <v>486</v>
      </c>
      <c r="F237" s="43" t="s">
        <v>257</v>
      </c>
      <c r="G237" s="32" t="n">
        <f aca="false">68.54+320.85+383.07</f>
        <v>772.46</v>
      </c>
      <c r="H237" s="32" t="n">
        <f aca="false">68.54+320.85+383.07</f>
        <v>772.46</v>
      </c>
    </row>
    <row r="238" customFormat="false" ht="15.75" hidden="false" customHeight="false" outlineLevel="0" collapsed="false">
      <c r="B238" s="17" t="s">
        <v>487</v>
      </c>
      <c r="C238" s="30" t="s">
        <v>14</v>
      </c>
      <c r="D238" s="41" t="n">
        <v>984</v>
      </c>
      <c r="E238" s="42" t="s">
        <v>488</v>
      </c>
      <c r="F238" s="43" t="s">
        <v>257</v>
      </c>
      <c r="G238" s="32" t="n">
        <f aca="false">71.69+476.43+525.25</f>
        <v>1073.37</v>
      </c>
      <c r="H238" s="32" t="n">
        <f aca="false">71.69+476.43+525.25</f>
        <v>1073.37</v>
      </c>
    </row>
    <row r="239" customFormat="false" ht="15.75" hidden="false" customHeight="false" outlineLevel="0" collapsed="false">
      <c r="B239" s="17" t="s">
        <v>489</v>
      </c>
      <c r="C239" s="30" t="s">
        <v>14</v>
      </c>
      <c r="D239" s="41" t="n">
        <v>1008</v>
      </c>
      <c r="E239" s="42" t="s">
        <v>490</v>
      </c>
      <c r="F239" s="44" t="s">
        <v>257</v>
      </c>
      <c r="G239" s="32" t="n">
        <f aca="false">138.9+172.5</f>
        <v>311.4</v>
      </c>
      <c r="H239" s="32" t="n">
        <f aca="false">138.9+172.5</f>
        <v>311.4</v>
      </c>
    </row>
    <row r="240" customFormat="false" ht="15.75" hidden="false" customHeight="false" outlineLevel="0" collapsed="false">
      <c r="B240" s="17" t="s">
        <v>491</v>
      </c>
      <c r="C240" s="30" t="s">
        <v>14</v>
      </c>
      <c r="D240" s="41" t="n">
        <v>1008</v>
      </c>
      <c r="E240" s="42" t="s">
        <v>492</v>
      </c>
      <c r="F240" s="44" t="s">
        <v>257</v>
      </c>
      <c r="G240" s="32" t="n">
        <f aca="false">69.45+86.25</f>
        <v>155.7</v>
      </c>
      <c r="H240" s="32" t="n">
        <f aca="false">69.45+86.25</f>
        <v>155.7</v>
      </c>
    </row>
    <row r="241" customFormat="false" ht="15.75" hidden="false" customHeight="false" outlineLevel="0" collapsed="false">
      <c r="B241" s="17" t="s">
        <v>493</v>
      </c>
      <c r="C241" s="30" t="s">
        <v>14</v>
      </c>
      <c r="D241" s="44" t="n">
        <v>1014</v>
      </c>
      <c r="E241" s="42" t="s">
        <v>494</v>
      </c>
      <c r="F241" s="43" t="s">
        <v>257</v>
      </c>
      <c r="G241" s="32" t="n">
        <v>386.89</v>
      </c>
      <c r="H241" s="32" t="n">
        <v>386.89</v>
      </c>
    </row>
    <row r="242" customFormat="false" ht="15.75" hidden="false" customHeight="false" outlineLevel="0" collapsed="false">
      <c r="B242" s="17" t="s">
        <v>495</v>
      </c>
      <c r="C242" s="30" t="s">
        <v>14</v>
      </c>
      <c r="D242" s="44" t="n">
        <v>1014</v>
      </c>
      <c r="E242" s="42" t="s">
        <v>496</v>
      </c>
      <c r="F242" s="43" t="s">
        <v>257</v>
      </c>
      <c r="G242" s="32" t="n">
        <v>337.48</v>
      </c>
      <c r="H242" s="32" t="n">
        <v>337.48</v>
      </c>
    </row>
    <row r="243" customFormat="false" ht="15.75" hidden="false" customHeight="false" outlineLevel="0" collapsed="false">
      <c r="B243" s="17" t="s">
        <v>497</v>
      </c>
      <c r="C243" s="30" t="s">
        <v>14</v>
      </c>
      <c r="D243" s="44" t="n">
        <v>1014</v>
      </c>
      <c r="E243" s="42" t="s">
        <v>498</v>
      </c>
      <c r="F243" s="43" t="s">
        <v>257</v>
      </c>
      <c r="G243" s="32" t="n">
        <v>347.24</v>
      </c>
      <c r="H243" s="32" t="n">
        <v>347.24</v>
      </c>
    </row>
    <row r="244" customFormat="false" ht="15.75" hidden="false" customHeight="false" outlineLevel="0" collapsed="false">
      <c r="B244" s="17" t="s">
        <v>499</v>
      </c>
      <c r="C244" s="30" t="s">
        <v>14</v>
      </c>
      <c r="D244" s="44" t="n">
        <v>1014</v>
      </c>
      <c r="E244" s="42" t="s">
        <v>500</v>
      </c>
      <c r="F244" s="43" t="s">
        <v>257</v>
      </c>
      <c r="G244" s="32" t="n">
        <v>372.24</v>
      </c>
      <c r="H244" s="32" t="n">
        <v>372.24</v>
      </c>
    </row>
    <row r="245" customFormat="false" ht="15.75" hidden="false" customHeight="false" outlineLevel="0" collapsed="false">
      <c r="B245" s="17" t="s">
        <v>501</v>
      </c>
      <c r="C245" s="30" t="s">
        <v>14</v>
      </c>
      <c r="D245" s="44" t="n">
        <v>981</v>
      </c>
      <c r="E245" s="42" t="s">
        <v>502</v>
      </c>
      <c r="F245" s="43" t="s">
        <v>257</v>
      </c>
      <c r="G245" s="32" t="n">
        <v>134.34</v>
      </c>
      <c r="H245" s="32" t="n">
        <v>134.34</v>
      </c>
    </row>
    <row r="246" customFormat="false" ht="15.75" hidden="false" customHeight="false" outlineLevel="0" collapsed="false">
      <c r="B246" s="17" t="s">
        <v>503</v>
      </c>
      <c r="C246" s="30" t="s">
        <v>14</v>
      </c>
      <c r="D246" s="44" t="n">
        <v>981</v>
      </c>
      <c r="E246" s="42" t="s">
        <v>504</v>
      </c>
      <c r="F246" s="43" t="s">
        <v>257</v>
      </c>
      <c r="G246" s="32" t="n">
        <v>86.69</v>
      </c>
      <c r="H246" s="32" t="n">
        <v>86.69</v>
      </c>
    </row>
    <row r="247" customFormat="false" ht="15.75" hidden="false" customHeight="false" outlineLevel="0" collapsed="false">
      <c r="B247" s="17" t="s">
        <v>505</v>
      </c>
      <c r="C247" s="30" t="s">
        <v>14</v>
      </c>
      <c r="D247" s="44" t="n">
        <v>981</v>
      </c>
      <c r="E247" s="42" t="s">
        <v>506</v>
      </c>
      <c r="F247" s="43" t="s">
        <v>257</v>
      </c>
      <c r="G247" s="32" t="n">
        <v>85.21</v>
      </c>
      <c r="H247" s="32" t="n">
        <v>85.21</v>
      </c>
    </row>
    <row r="248" customFormat="false" ht="15.75" hidden="false" customHeight="false" outlineLevel="0" collapsed="false">
      <c r="B248" s="17" t="s">
        <v>507</v>
      </c>
      <c r="C248" s="30" t="s">
        <v>14</v>
      </c>
      <c r="D248" s="44" t="n">
        <v>981</v>
      </c>
      <c r="E248" s="42" t="s">
        <v>508</v>
      </c>
      <c r="F248" s="43" t="s">
        <v>257</v>
      </c>
      <c r="G248" s="32" t="n">
        <v>107.3</v>
      </c>
      <c r="H248" s="32" t="n">
        <v>107.3</v>
      </c>
    </row>
    <row r="249" customFormat="false" ht="15.75" hidden="false" customHeight="false" outlineLevel="0" collapsed="false">
      <c r="B249" s="17" t="s">
        <v>509</v>
      </c>
      <c r="C249" s="30" t="s">
        <v>14</v>
      </c>
      <c r="D249" s="44" t="n">
        <v>39232</v>
      </c>
      <c r="E249" s="42" t="s">
        <v>510</v>
      </c>
      <c r="F249" s="43" t="s">
        <v>257</v>
      </c>
      <c r="G249" s="32" t="n">
        <v>40.3</v>
      </c>
      <c r="H249" s="32" t="n">
        <v>40.3</v>
      </c>
    </row>
    <row r="250" customFormat="false" ht="15.75" hidden="false" customHeight="false" outlineLevel="0" collapsed="false">
      <c r="B250" s="17" t="s">
        <v>511</v>
      </c>
      <c r="C250" s="30" t="s">
        <v>14</v>
      </c>
      <c r="D250" s="44" t="n">
        <v>39233</v>
      </c>
      <c r="E250" s="42" t="s">
        <v>512</v>
      </c>
      <c r="F250" s="43" t="s">
        <v>257</v>
      </c>
      <c r="G250" s="32" t="n">
        <f aca="false">21.84+37.43</f>
        <v>59.27</v>
      </c>
      <c r="H250" s="32" t="n">
        <f aca="false">21.84+37.43</f>
        <v>59.27</v>
      </c>
    </row>
    <row r="251" customFormat="false" ht="15.75" hidden="false" customHeight="false" outlineLevel="0" collapsed="false">
      <c r="B251" s="17" t="s">
        <v>513</v>
      </c>
      <c r="C251" s="30" t="s">
        <v>14</v>
      </c>
      <c r="D251" s="44" t="n">
        <v>39235</v>
      </c>
      <c r="E251" s="42" t="s">
        <v>514</v>
      </c>
      <c r="F251" s="43" t="s">
        <v>257</v>
      </c>
      <c r="G251" s="32" t="n">
        <f aca="false">21.84+37.43</f>
        <v>59.27</v>
      </c>
      <c r="H251" s="32" t="n">
        <f aca="false">21.84+37.43</f>
        <v>59.27</v>
      </c>
    </row>
    <row r="252" customFormat="false" ht="15.75" hidden="false" customHeight="false" outlineLevel="0" collapsed="false">
      <c r="B252" s="17" t="s">
        <v>515</v>
      </c>
      <c r="C252" s="30" t="s">
        <v>14</v>
      </c>
      <c r="D252" s="44" t="n">
        <v>39235</v>
      </c>
      <c r="E252" s="42" t="s">
        <v>516</v>
      </c>
      <c r="F252" s="43" t="s">
        <v>257</v>
      </c>
      <c r="G252" s="32" t="n">
        <f aca="false">21.84+37.43</f>
        <v>59.27</v>
      </c>
      <c r="H252" s="32" t="n">
        <f aca="false">21.84+37.43</f>
        <v>59.27</v>
      </c>
    </row>
    <row r="253" customFormat="false" ht="15.75" hidden="false" customHeight="false" outlineLevel="0" collapsed="false">
      <c r="B253" s="17" t="s">
        <v>517</v>
      </c>
      <c r="C253" s="30" t="s">
        <v>14</v>
      </c>
      <c r="D253" s="41" t="n">
        <v>2370</v>
      </c>
      <c r="E253" s="42" t="s">
        <v>518</v>
      </c>
      <c r="F253" s="43" t="s">
        <v>240</v>
      </c>
      <c r="G253" s="32" t="n">
        <v>4</v>
      </c>
      <c r="H253" s="32" t="n">
        <v>4</v>
      </c>
    </row>
    <row r="254" customFormat="false" ht="15.75" hidden="false" customHeight="false" outlineLevel="0" collapsed="false">
      <c r="B254" s="17" t="s">
        <v>519</v>
      </c>
      <c r="C254" s="30" t="s">
        <v>14</v>
      </c>
      <c r="D254" s="45" t="n">
        <v>2370</v>
      </c>
      <c r="E254" s="42" t="s">
        <v>520</v>
      </c>
      <c r="F254" s="43" t="s">
        <v>240</v>
      </c>
      <c r="G254" s="32" t="n">
        <v>13</v>
      </c>
      <c r="H254" s="32" t="n">
        <v>13</v>
      </c>
    </row>
    <row r="255" customFormat="false" ht="15.75" hidden="false" customHeight="false" outlineLevel="0" collapsed="false">
      <c r="B255" s="17" t="s">
        <v>521</v>
      </c>
      <c r="C255" s="30" t="s">
        <v>14</v>
      </c>
      <c r="D255" s="41" t="n">
        <v>2370</v>
      </c>
      <c r="E255" s="42" t="s">
        <v>522</v>
      </c>
      <c r="F255" s="43" t="s">
        <v>240</v>
      </c>
      <c r="G255" s="32" t="n">
        <v>1</v>
      </c>
      <c r="H255" s="32" t="n">
        <v>1</v>
      </c>
    </row>
    <row r="256" customFormat="false" ht="15.75" hidden="false" customHeight="false" outlineLevel="0" collapsed="false">
      <c r="B256" s="17" t="s">
        <v>523</v>
      </c>
      <c r="C256" s="30" t="s">
        <v>14</v>
      </c>
      <c r="D256" s="41" t="n">
        <v>2388</v>
      </c>
      <c r="E256" s="42" t="s">
        <v>524</v>
      </c>
      <c r="F256" s="43" t="s">
        <v>240</v>
      </c>
      <c r="G256" s="32" t="n">
        <f aca="false">16+5</f>
        <v>21</v>
      </c>
      <c r="H256" s="32" t="n">
        <f aca="false">16+5</f>
        <v>21</v>
      </c>
    </row>
    <row r="257" customFormat="false" ht="15.75" hidden="false" customHeight="false" outlineLevel="0" collapsed="false">
      <c r="B257" s="17" t="s">
        <v>525</v>
      </c>
      <c r="C257" s="30" t="s">
        <v>14</v>
      </c>
      <c r="D257" s="41" t="n">
        <v>2374</v>
      </c>
      <c r="E257" s="42" t="s">
        <v>526</v>
      </c>
      <c r="F257" s="43" t="s">
        <v>240</v>
      </c>
      <c r="G257" s="32" t="n">
        <v>2</v>
      </c>
      <c r="H257" s="32" t="n">
        <v>2</v>
      </c>
    </row>
    <row r="258" customFormat="false" ht="15.75" hidden="false" customHeight="false" outlineLevel="0" collapsed="false">
      <c r="B258" s="17" t="s">
        <v>527</v>
      </c>
      <c r="C258" s="30" t="s">
        <v>14</v>
      </c>
      <c r="D258" s="41" t="n">
        <v>34729</v>
      </c>
      <c r="E258" s="42" t="s">
        <v>528</v>
      </c>
      <c r="F258" s="43" t="s">
        <v>240</v>
      </c>
      <c r="G258" s="32" t="n">
        <v>1</v>
      </c>
      <c r="H258" s="32" t="n">
        <v>1</v>
      </c>
    </row>
    <row r="259" customFormat="false" ht="15.75" hidden="false" customHeight="false" outlineLevel="0" collapsed="false">
      <c r="B259" s="46"/>
      <c r="C259" s="47"/>
      <c r="D259" s="47"/>
      <c r="E259" s="47"/>
      <c r="F259" s="47"/>
      <c r="G259" s="48"/>
      <c r="H259" s="49"/>
    </row>
    <row r="260" customFormat="false" ht="15.75" hidden="false" customHeight="false" outlineLevel="0" collapsed="false">
      <c r="B260" s="50"/>
      <c r="C260" s="51"/>
      <c r="D260" s="51"/>
      <c r="E260" s="51"/>
      <c r="F260" s="51"/>
      <c r="G260" s="51"/>
      <c r="H260" s="52"/>
      <c r="I260" s="51"/>
      <c r="J260" s="51"/>
    </row>
    <row r="261" customFormat="false" ht="15.75" hidden="false" customHeight="false" outlineLevel="0" collapsed="false">
      <c r="B261" s="50"/>
      <c r="C261" s="51"/>
      <c r="D261" s="51"/>
      <c r="E261" s="51"/>
      <c r="F261" s="51"/>
      <c r="G261" s="51"/>
      <c r="H261" s="52"/>
      <c r="I261" s="51"/>
      <c r="J261" s="51"/>
    </row>
    <row r="262" customFormat="false" ht="15.75" hidden="false" customHeight="false" outlineLevel="0" collapsed="false">
      <c r="B262" s="53"/>
      <c r="C262" s="54"/>
      <c r="D262" s="55"/>
      <c r="E262" s="56"/>
      <c r="F262" s="55"/>
      <c r="G262" s="57"/>
      <c r="H262" s="58"/>
      <c r="I262" s="59"/>
      <c r="J262" s="59"/>
    </row>
    <row r="263" customFormat="false" ht="15.75" hidden="false" customHeight="false" outlineLevel="0" collapsed="false">
      <c r="B263" s="60" t="s">
        <v>529</v>
      </c>
      <c r="C263" s="60"/>
      <c r="D263" s="60"/>
      <c r="E263" s="60"/>
      <c r="F263" s="60"/>
      <c r="G263" s="60"/>
      <c r="H263" s="60"/>
      <c r="I263" s="61"/>
      <c r="J263" s="61"/>
    </row>
    <row r="264" customFormat="false" ht="15.75" hidden="false" customHeight="false" outlineLevel="0" collapsed="false">
      <c r="B264" s="60" t="s">
        <v>530</v>
      </c>
      <c r="C264" s="60"/>
      <c r="D264" s="60"/>
      <c r="E264" s="60"/>
      <c r="F264" s="60"/>
      <c r="G264" s="60"/>
      <c r="H264" s="60"/>
      <c r="I264" s="61"/>
      <c r="J264" s="61"/>
    </row>
    <row r="265" customFormat="false" ht="15.75" hidden="false" customHeight="false" outlineLevel="0" collapsed="false">
      <c r="B265" s="60" t="s">
        <v>531</v>
      </c>
      <c r="C265" s="60"/>
      <c r="D265" s="60"/>
      <c r="E265" s="60"/>
      <c r="F265" s="60"/>
      <c r="G265" s="60"/>
      <c r="H265" s="60"/>
      <c r="I265" s="61"/>
      <c r="J265" s="61"/>
    </row>
    <row r="266" customFormat="false" ht="15.75" hidden="false" customHeight="false" outlineLevel="0" collapsed="false">
      <c r="B266" s="62" t="s">
        <v>532</v>
      </c>
      <c r="C266" s="62"/>
      <c r="D266" s="62"/>
      <c r="E266" s="62"/>
      <c r="F266" s="62"/>
      <c r="G266" s="62"/>
      <c r="H266" s="62"/>
      <c r="I266" s="61"/>
      <c r="J266" s="61"/>
    </row>
    <row r="267" customFormat="false" ht="15" hidden="false" customHeight="false" outlineLevel="0" collapsed="false">
      <c r="B267" s="63"/>
      <c r="C267" s="63"/>
      <c r="D267" s="63"/>
      <c r="E267" s="63"/>
      <c r="F267" s="63"/>
      <c r="G267" s="64"/>
      <c r="H267" s="64"/>
      <c r="I267" s="63"/>
      <c r="J267" s="63"/>
    </row>
  </sheetData>
  <mergeCells count="67">
    <mergeCell ref="B2:H2"/>
    <mergeCell ref="B3:H3"/>
    <mergeCell ref="B4:H4"/>
    <mergeCell ref="B5:H5"/>
    <mergeCell ref="B7:H7"/>
    <mergeCell ref="C8:D8"/>
    <mergeCell ref="F8:H8"/>
    <mergeCell ref="C12:D12"/>
    <mergeCell ref="F12:H12"/>
    <mergeCell ref="C14:D14"/>
    <mergeCell ref="F14:H14"/>
    <mergeCell ref="C21:D21"/>
    <mergeCell ref="F21:H21"/>
    <mergeCell ref="C23:D23"/>
    <mergeCell ref="F23:H23"/>
    <mergeCell ref="C28:D28"/>
    <mergeCell ref="F28:H28"/>
    <mergeCell ref="C31:D31"/>
    <mergeCell ref="F31:H31"/>
    <mergeCell ref="C35:D35"/>
    <mergeCell ref="F35:H35"/>
    <mergeCell ref="C38:D38"/>
    <mergeCell ref="F38:H38"/>
    <mergeCell ref="B40:H40"/>
    <mergeCell ref="B41:H41"/>
    <mergeCell ref="C42:D42"/>
    <mergeCell ref="F42:H42"/>
    <mergeCell ref="C45:D45"/>
    <mergeCell ref="F45:H45"/>
    <mergeCell ref="C50:D50"/>
    <mergeCell ref="F50:H50"/>
    <mergeCell ref="C58:D58"/>
    <mergeCell ref="F58:H58"/>
    <mergeCell ref="C69:D69"/>
    <mergeCell ref="F69:H69"/>
    <mergeCell ref="C71:D71"/>
    <mergeCell ref="F71:H71"/>
    <mergeCell ref="C77:D77"/>
    <mergeCell ref="F77:H77"/>
    <mergeCell ref="C85:D85"/>
    <mergeCell ref="F85:H85"/>
    <mergeCell ref="C87:D87"/>
    <mergeCell ref="F87:H87"/>
    <mergeCell ref="C90:D90"/>
    <mergeCell ref="F90:H90"/>
    <mergeCell ref="C95:D95"/>
    <mergeCell ref="F95:H95"/>
    <mergeCell ref="C99:D99"/>
    <mergeCell ref="F99:H99"/>
    <mergeCell ref="C112:D112"/>
    <mergeCell ref="F112:H112"/>
    <mergeCell ref="C115:D115"/>
    <mergeCell ref="F115:H115"/>
    <mergeCell ref="C119:D119"/>
    <mergeCell ref="F119:H119"/>
    <mergeCell ref="B121:H121"/>
    <mergeCell ref="B122:H122"/>
    <mergeCell ref="C123:D123"/>
    <mergeCell ref="F123:H123"/>
    <mergeCell ref="C203:D203"/>
    <mergeCell ref="F203:H203"/>
    <mergeCell ref="C215:D215"/>
    <mergeCell ref="F215:H215"/>
    <mergeCell ref="B263:H263"/>
    <mergeCell ref="B264:H264"/>
    <mergeCell ref="B265:H265"/>
    <mergeCell ref="B266:H266"/>
  </mergeCells>
  <printOptions headings="false" gridLines="false" gridLinesSet="true" horizontalCentered="true" verticalCentered="false"/>
  <pageMargins left="0.511805555555555" right="0.51180555555555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44" man="true" max="16383" min="0"/>
    <brk id="89" man="true" max="16383" min="0"/>
    <brk id="137" man="true" max="16383" min="0"/>
    <brk id="22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G2:P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W57" activeCellId="0" sqref="W57"/>
    </sheetView>
  </sheetViews>
  <sheetFormatPr defaultColWidth="8.6875" defaultRowHeight="15" zeroHeight="false" outlineLevelRow="0" outlineLevelCol="0"/>
  <cols>
    <col collapsed="false" customWidth="true" hidden="false" outlineLevel="0" max="16" min="16" style="0" width="9.42"/>
  </cols>
  <sheetData>
    <row r="2" customFormat="false" ht="21" hidden="false" customHeight="false" outlineLevel="0" collapsed="false">
      <c r="G2" s="65" t="s">
        <v>533</v>
      </c>
      <c r="H2" s="65"/>
      <c r="I2" s="65"/>
      <c r="J2" s="65"/>
      <c r="K2" s="65"/>
      <c r="L2" s="65"/>
      <c r="M2" s="65"/>
      <c r="N2" s="65"/>
      <c r="O2" s="65"/>
      <c r="P2" s="65"/>
    </row>
    <row r="3" customFormat="false" ht="15.75" hidden="false" customHeight="false" outlineLevel="0" collapsed="false">
      <c r="G3" s="66" t="s">
        <v>534</v>
      </c>
      <c r="H3" s="66"/>
      <c r="I3" s="66"/>
      <c r="J3" s="66"/>
      <c r="K3" s="66"/>
      <c r="L3" s="66"/>
      <c r="M3" s="66"/>
      <c r="N3" s="66"/>
      <c r="O3" s="67" t="s">
        <v>535</v>
      </c>
      <c r="P3" s="68" t="n">
        <v>44166</v>
      </c>
    </row>
    <row r="4" customFormat="false" ht="15.75" hidden="false" customHeight="false" outlineLevel="0" collapsed="false">
      <c r="G4" s="66" t="s">
        <v>536</v>
      </c>
      <c r="H4" s="66"/>
      <c r="I4" s="66"/>
      <c r="J4" s="66"/>
      <c r="K4" s="66"/>
      <c r="L4" s="66"/>
      <c r="M4" s="66"/>
      <c r="N4" s="66"/>
      <c r="O4" s="69" t="s">
        <v>537</v>
      </c>
      <c r="P4" s="70" t="n">
        <v>44229</v>
      </c>
    </row>
    <row r="5" customFormat="false" ht="15.75" hidden="false" customHeight="false" outlineLevel="0" collapsed="false">
      <c r="G5" s="71"/>
      <c r="H5" s="71"/>
      <c r="I5" s="71"/>
      <c r="J5" s="71"/>
      <c r="K5" s="71"/>
      <c r="L5" s="71"/>
      <c r="M5" s="72"/>
      <c r="N5" s="72"/>
      <c r="O5" s="73"/>
      <c r="P5" s="74"/>
    </row>
    <row r="6" customFormat="false" ht="15" hidden="false" customHeight="false" outlineLevel="0" collapsed="false">
      <c r="G6" s="75"/>
      <c r="H6" s="63"/>
      <c r="I6" s="63"/>
      <c r="J6" s="63"/>
      <c r="K6" s="63"/>
      <c r="L6" s="63"/>
      <c r="M6" s="63"/>
      <c r="N6" s="63"/>
      <c r="O6" s="63"/>
      <c r="P6" s="76"/>
    </row>
    <row r="7" customFormat="false" ht="15" hidden="false" customHeight="false" outlineLevel="0" collapsed="false">
      <c r="G7" s="77" t="s">
        <v>538</v>
      </c>
      <c r="H7" s="63"/>
      <c r="I7" s="63"/>
      <c r="J7" s="63"/>
      <c r="K7" s="63"/>
      <c r="L7" s="63"/>
      <c r="M7" s="63"/>
      <c r="N7" s="63"/>
      <c r="O7" s="63"/>
      <c r="P7" s="76"/>
    </row>
    <row r="8" customFormat="false" ht="15.75" hidden="false" customHeight="false" outlineLevel="0" collapsed="false">
      <c r="G8" s="75"/>
      <c r="H8" s="63"/>
      <c r="I8" s="63"/>
      <c r="J8" s="63"/>
      <c r="K8" s="63"/>
      <c r="L8" s="63"/>
      <c r="M8" s="63"/>
      <c r="N8" s="63"/>
      <c r="O8" s="63"/>
      <c r="P8" s="76"/>
    </row>
    <row r="9" customFormat="false" ht="15.75" hidden="false" customHeight="false" outlineLevel="0" collapsed="false">
      <c r="G9" s="75"/>
      <c r="H9" s="78" t="n">
        <v>0.0335</v>
      </c>
      <c r="I9" s="63"/>
      <c r="J9" s="63"/>
      <c r="K9" s="63"/>
      <c r="L9" s="63"/>
      <c r="M9" s="63"/>
      <c r="N9" s="63"/>
      <c r="O9" s="63"/>
      <c r="P9" s="76"/>
    </row>
    <row r="10" customFormat="false" ht="15.75" hidden="false" customHeight="false" outlineLevel="0" collapsed="false">
      <c r="G10" s="75"/>
      <c r="H10" s="63"/>
      <c r="I10" s="63"/>
      <c r="J10" s="63"/>
      <c r="K10" s="79"/>
      <c r="L10" s="80" t="s">
        <v>539</v>
      </c>
      <c r="M10" s="81"/>
      <c r="N10" s="81"/>
      <c r="O10" s="82"/>
      <c r="P10" s="83" t="n">
        <f aca="false">1+H9+H13+H18</f>
        <v>1.0562</v>
      </c>
    </row>
    <row r="11" customFormat="false" ht="15.75" hidden="false" customHeight="false" outlineLevel="0" collapsed="false">
      <c r="G11" s="75" t="s">
        <v>540</v>
      </c>
      <c r="H11" s="63"/>
      <c r="I11" s="63"/>
      <c r="J11" s="63"/>
      <c r="K11" s="79"/>
      <c r="L11" s="84" t="s">
        <v>541</v>
      </c>
      <c r="M11" s="63"/>
      <c r="N11" s="63"/>
      <c r="O11" s="85"/>
      <c r="P11" s="83" t="n">
        <f aca="false">1+H22</f>
        <v>1.0139</v>
      </c>
    </row>
    <row r="12" customFormat="false" ht="15.75" hidden="false" customHeight="false" outlineLevel="0" collapsed="false">
      <c r="G12" s="75"/>
      <c r="H12" s="63"/>
      <c r="I12" s="63"/>
      <c r="J12" s="63"/>
      <c r="K12" s="79"/>
      <c r="L12" s="84" t="s">
        <v>542</v>
      </c>
      <c r="M12" s="63"/>
      <c r="N12" s="63"/>
      <c r="O12" s="85"/>
      <c r="P12" s="83" t="n">
        <f aca="false">1+H26</f>
        <v>1.0896</v>
      </c>
    </row>
    <row r="13" customFormat="false" ht="15.75" hidden="false" customHeight="false" outlineLevel="0" collapsed="false">
      <c r="G13" s="75"/>
      <c r="H13" s="78" t="n">
        <v>0.01</v>
      </c>
      <c r="I13" s="63"/>
      <c r="J13" s="63"/>
      <c r="K13" s="79"/>
      <c r="L13" s="84" t="s">
        <v>543</v>
      </c>
      <c r="M13" s="63"/>
      <c r="N13" s="63"/>
      <c r="O13" s="85"/>
      <c r="P13" s="83" t="n">
        <f aca="false">1-I32-K32-M32-I34</f>
        <v>0.8885</v>
      </c>
    </row>
    <row r="14" customFormat="false" ht="15.75" hidden="false" customHeight="false" outlineLevel="0" collapsed="false">
      <c r="G14" s="75"/>
      <c r="H14" s="63"/>
      <c r="I14" s="63"/>
      <c r="J14" s="63"/>
      <c r="K14" s="63"/>
      <c r="L14" s="86" t="s">
        <v>544</v>
      </c>
      <c r="M14" s="87"/>
      <c r="N14" s="87"/>
      <c r="O14" s="88"/>
      <c r="P14" s="83" t="n">
        <f aca="false">1-I32-K32-M32</f>
        <v>0.9335</v>
      </c>
    </row>
    <row r="15" customFormat="false" ht="15" hidden="false" customHeight="false" outlineLevel="0" collapsed="false">
      <c r="G15" s="75"/>
      <c r="H15" s="63"/>
      <c r="I15" s="63"/>
      <c r="J15" s="63"/>
      <c r="K15" s="63"/>
      <c r="L15" s="63"/>
      <c r="M15" s="63"/>
      <c r="N15" s="63"/>
      <c r="O15" s="63"/>
      <c r="P15" s="76"/>
    </row>
    <row r="16" customFormat="false" ht="15" hidden="false" customHeight="false" outlineLevel="0" collapsed="false">
      <c r="G16" s="75" t="s">
        <v>545</v>
      </c>
      <c r="H16" s="63"/>
      <c r="I16" s="63"/>
      <c r="J16" s="63"/>
      <c r="K16" s="63"/>
      <c r="L16" s="63"/>
      <c r="M16" s="63"/>
      <c r="N16" s="63"/>
      <c r="O16" s="63"/>
      <c r="P16" s="76"/>
    </row>
    <row r="17" customFormat="false" ht="15.75" hidden="false" customHeight="false" outlineLevel="0" collapsed="false">
      <c r="G17" s="75"/>
      <c r="H17" s="63"/>
      <c r="I17" s="63"/>
      <c r="J17" s="63"/>
      <c r="K17" s="63"/>
      <c r="L17" s="63"/>
      <c r="M17" s="63"/>
      <c r="N17" s="63"/>
      <c r="O17" s="63"/>
      <c r="P17" s="76"/>
    </row>
    <row r="18" customFormat="false" ht="15.75" hidden="false" customHeight="false" outlineLevel="0" collapsed="false">
      <c r="G18" s="75"/>
      <c r="H18" s="78" t="n">
        <v>0.0127</v>
      </c>
      <c r="I18" s="63"/>
      <c r="J18" s="63"/>
      <c r="K18" s="63"/>
      <c r="L18" s="63"/>
      <c r="M18" s="63"/>
      <c r="N18" s="63"/>
      <c r="O18" s="63"/>
      <c r="P18" s="76"/>
    </row>
    <row r="19" customFormat="false" ht="15" hidden="false" customHeight="false" outlineLevel="0" collapsed="false">
      <c r="G19" s="75"/>
      <c r="H19" s="63"/>
      <c r="I19" s="63"/>
      <c r="J19" s="63"/>
      <c r="K19" s="63"/>
      <c r="L19" s="63"/>
      <c r="M19" s="63"/>
      <c r="N19" s="63"/>
      <c r="O19" s="63"/>
      <c r="P19" s="76"/>
    </row>
    <row r="20" customFormat="false" ht="15" hidden="false" customHeight="false" outlineLevel="0" collapsed="false">
      <c r="G20" s="75" t="s">
        <v>546</v>
      </c>
      <c r="H20" s="63"/>
      <c r="I20" s="63"/>
      <c r="J20" s="63"/>
      <c r="K20" s="63"/>
      <c r="L20" s="63"/>
      <c r="M20" s="63"/>
      <c r="N20" s="63"/>
      <c r="O20" s="63"/>
      <c r="P20" s="76"/>
    </row>
    <row r="21" customFormat="false" ht="15.75" hidden="false" customHeight="false" outlineLevel="0" collapsed="false">
      <c r="G21" s="75"/>
      <c r="H21" s="63"/>
      <c r="I21" s="63"/>
      <c r="J21" s="63"/>
      <c r="K21" s="63"/>
      <c r="L21" s="63"/>
      <c r="M21" s="63"/>
      <c r="N21" s="63"/>
      <c r="O21" s="63"/>
      <c r="P21" s="76"/>
    </row>
    <row r="22" customFormat="false" ht="15.75" hidden="false" customHeight="false" outlineLevel="0" collapsed="false">
      <c r="G22" s="75"/>
      <c r="H22" s="78" t="n">
        <v>0.0139</v>
      </c>
      <c r="I22" s="63"/>
      <c r="J22" s="63"/>
      <c r="K22" s="63"/>
      <c r="L22" s="63"/>
      <c r="M22" s="63"/>
      <c r="N22" s="63"/>
      <c r="O22" s="63"/>
      <c r="P22" s="76"/>
    </row>
    <row r="23" customFormat="false" ht="15" hidden="false" customHeight="false" outlineLevel="0" collapsed="false">
      <c r="G23" s="75"/>
      <c r="H23" s="63"/>
      <c r="I23" s="63"/>
      <c r="J23" s="63"/>
      <c r="K23" s="63"/>
      <c r="L23" s="63"/>
      <c r="M23" s="63"/>
      <c r="N23" s="63"/>
      <c r="O23" s="63"/>
      <c r="P23" s="76"/>
    </row>
    <row r="24" customFormat="false" ht="15" hidden="false" customHeight="false" outlineLevel="0" collapsed="false">
      <c r="G24" s="75" t="s">
        <v>547</v>
      </c>
      <c r="H24" s="63"/>
      <c r="I24" s="63"/>
      <c r="J24" s="63"/>
      <c r="K24" s="63"/>
      <c r="L24" s="63"/>
      <c r="M24" s="63"/>
      <c r="N24" s="63"/>
      <c r="O24" s="63"/>
      <c r="P24" s="76"/>
    </row>
    <row r="25" customFormat="false" ht="15.75" hidden="false" customHeight="false" outlineLevel="0" collapsed="false">
      <c r="G25" s="75"/>
      <c r="H25" s="63"/>
      <c r="I25" s="63"/>
      <c r="J25" s="63"/>
      <c r="K25" s="63"/>
      <c r="L25" s="63"/>
      <c r="M25" s="63"/>
      <c r="N25" s="63"/>
      <c r="O25" s="63"/>
      <c r="P25" s="76"/>
    </row>
    <row r="26" customFormat="false" ht="15.75" hidden="false" customHeight="false" outlineLevel="0" collapsed="false">
      <c r="G26" s="75"/>
      <c r="H26" s="78" t="n">
        <v>0.0896</v>
      </c>
      <c r="I26" s="63"/>
      <c r="J26" s="63"/>
      <c r="K26" s="63"/>
      <c r="L26" s="63"/>
      <c r="M26" s="63"/>
      <c r="N26" s="63"/>
      <c r="O26" s="63"/>
      <c r="P26" s="76"/>
    </row>
    <row r="27" customFormat="false" ht="15" hidden="false" customHeight="false" outlineLevel="0" collapsed="false">
      <c r="G27" s="75"/>
      <c r="H27" s="89"/>
      <c r="I27" s="63"/>
      <c r="J27" s="63"/>
      <c r="K27" s="63"/>
      <c r="L27" s="63"/>
      <c r="M27" s="63"/>
      <c r="N27" s="63"/>
      <c r="O27" s="63"/>
      <c r="P27" s="76"/>
    </row>
    <row r="28" customFormat="false" ht="15" hidden="false" customHeight="false" outlineLevel="0" collapsed="false">
      <c r="G28" s="90" t="s">
        <v>548</v>
      </c>
      <c r="H28" s="91"/>
      <c r="I28" s="91"/>
      <c r="J28" s="91"/>
      <c r="K28" s="91"/>
      <c r="L28" s="91"/>
      <c r="M28" s="91"/>
      <c r="N28" s="91"/>
      <c r="O28" s="91"/>
      <c r="P28" s="92"/>
    </row>
    <row r="29" customFormat="false" ht="15" hidden="false" customHeight="true" outlineLevel="0" collapsed="false">
      <c r="G29" s="93" t="s">
        <v>549</v>
      </c>
      <c r="H29" s="93"/>
      <c r="I29" s="93"/>
      <c r="J29" s="93"/>
      <c r="K29" s="93"/>
      <c r="L29" s="93"/>
      <c r="M29" s="93"/>
      <c r="N29" s="93"/>
      <c r="O29" s="93"/>
      <c r="P29" s="93"/>
    </row>
    <row r="30" customFormat="false" ht="15" hidden="false" customHeight="false" outlineLevel="0" collapsed="false">
      <c r="G30" s="75"/>
      <c r="H30" s="63"/>
      <c r="I30" s="63"/>
      <c r="J30" s="63"/>
      <c r="K30" s="63"/>
      <c r="L30" s="63"/>
      <c r="M30" s="63"/>
      <c r="N30" s="63"/>
      <c r="O30" s="63"/>
      <c r="P30" s="76"/>
    </row>
    <row r="31" customFormat="false" ht="15.75" hidden="false" customHeight="false" outlineLevel="0" collapsed="false">
      <c r="G31" s="75"/>
      <c r="H31" s="63"/>
      <c r="I31" s="63"/>
      <c r="J31" s="63"/>
      <c r="K31" s="63"/>
      <c r="L31" s="63"/>
      <c r="M31" s="63"/>
      <c r="N31" s="63"/>
      <c r="O31" s="63"/>
      <c r="P31" s="76"/>
    </row>
    <row r="32" customFormat="false" ht="15.75" hidden="false" customHeight="false" outlineLevel="0" collapsed="false">
      <c r="G32" s="75"/>
      <c r="H32" s="94" t="s">
        <v>550</v>
      </c>
      <c r="I32" s="78" t="n">
        <v>0.03</v>
      </c>
      <c r="J32" s="94" t="s">
        <v>551</v>
      </c>
      <c r="K32" s="78" t="n">
        <v>0.0065</v>
      </c>
      <c r="L32" s="94" t="s">
        <v>552</v>
      </c>
      <c r="M32" s="78" t="n">
        <v>0.03</v>
      </c>
      <c r="N32" s="63"/>
      <c r="O32" s="63"/>
      <c r="P32" s="76"/>
    </row>
    <row r="33" customFormat="false" ht="15.75" hidden="false" customHeight="false" outlineLevel="0" collapsed="false">
      <c r="G33" s="75"/>
      <c r="H33" s="63"/>
      <c r="I33" s="63"/>
      <c r="J33" s="63"/>
      <c r="K33" s="63"/>
      <c r="L33" s="63"/>
      <c r="M33" s="63"/>
      <c r="N33" s="63"/>
      <c r="O33" s="63"/>
      <c r="P33" s="76"/>
    </row>
    <row r="34" customFormat="false" ht="15.75" hidden="false" customHeight="false" outlineLevel="0" collapsed="false">
      <c r="G34" s="95" t="s">
        <v>553</v>
      </c>
      <c r="H34" s="95"/>
      <c r="I34" s="78" t="n">
        <v>0.045</v>
      </c>
      <c r="J34" s="63"/>
      <c r="K34" s="63"/>
      <c r="L34" s="63"/>
      <c r="M34" s="63"/>
      <c r="N34" s="63"/>
      <c r="O34" s="63"/>
      <c r="P34" s="76"/>
    </row>
    <row r="35" customFormat="false" ht="15" hidden="false" customHeight="false" outlineLevel="0" collapsed="false">
      <c r="G35" s="75"/>
      <c r="H35" s="63"/>
      <c r="I35" s="63"/>
      <c r="J35" s="63"/>
      <c r="K35" s="63"/>
      <c r="L35" s="63"/>
      <c r="M35" s="63"/>
      <c r="N35" s="63"/>
      <c r="O35" s="63"/>
      <c r="P35" s="76"/>
    </row>
    <row r="36" customFormat="false" ht="15" hidden="false" customHeight="false" outlineLevel="0" collapsed="false">
      <c r="G36" s="75"/>
      <c r="H36" s="63"/>
      <c r="I36" s="63"/>
      <c r="J36" s="63"/>
      <c r="K36" s="63"/>
      <c r="L36" s="63"/>
      <c r="M36" s="63"/>
      <c r="N36" s="63"/>
      <c r="O36" s="63"/>
      <c r="P36" s="76"/>
    </row>
    <row r="37" customFormat="false" ht="15.75" hidden="false" customHeight="false" outlineLevel="0" collapsed="false">
      <c r="G37" s="75"/>
      <c r="H37" s="63"/>
      <c r="I37" s="63"/>
      <c r="J37" s="63"/>
      <c r="K37" s="63"/>
      <c r="L37" s="63"/>
      <c r="M37" s="63"/>
      <c r="N37" s="63"/>
      <c r="O37" s="63"/>
      <c r="P37" s="76"/>
    </row>
    <row r="38" customFormat="false" ht="15.75" hidden="false" customHeight="false" outlineLevel="0" collapsed="false">
      <c r="G38" s="75"/>
      <c r="H38" s="96" t="s">
        <v>554</v>
      </c>
      <c r="I38" s="96"/>
      <c r="J38" s="97" t="n">
        <f aca="false">(P10*P11*P12/P14)-1</f>
        <v>0.249954080051419</v>
      </c>
      <c r="K38" s="97"/>
      <c r="L38" s="98" t="s">
        <v>555</v>
      </c>
      <c r="M38" s="98"/>
      <c r="N38" s="99" t="s">
        <v>556</v>
      </c>
      <c r="O38" s="99" t="s">
        <v>557</v>
      </c>
      <c r="P38" s="99" t="s">
        <v>558</v>
      </c>
    </row>
    <row r="39" customFormat="false" ht="15.75" hidden="false" customHeight="false" outlineLevel="0" collapsed="false">
      <c r="G39" s="75"/>
      <c r="H39" s="96"/>
      <c r="I39" s="96"/>
      <c r="J39" s="97"/>
      <c r="K39" s="97"/>
      <c r="L39" s="98"/>
      <c r="M39" s="98"/>
      <c r="N39" s="100" t="n">
        <v>0.2076</v>
      </c>
      <c r="O39" s="100" t="n">
        <v>0.2418</v>
      </c>
      <c r="P39" s="100" t="n">
        <v>0.2644</v>
      </c>
    </row>
    <row r="40" customFormat="false" ht="15.75" hidden="false" customHeight="false" outlineLevel="0" collapsed="false">
      <c r="G40" s="75"/>
      <c r="H40" s="63"/>
      <c r="I40" s="63"/>
      <c r="J40" s="63"/>
      <c r="K40" s="63"/>
      <c r="L40" s="63"/>
      <c r="M40" s="63"/>
      <c r="N40" s="63"/>
      <c r="O40" s="63"/>
      <c r="P40" s="76"/>
    </row>
    <row r="41" customFormat="false" ht="15.75" hidden="false" customHeight="true" outlineLevel="0" collapsed="false">
      <c r="G41" s="101" t="s">
        <v>559</v>
      </c>
      <c r="H41" s="101"/>
      <c r="I41" s="101"/>
      <c r="J41" s="101"/>
      <c r="K41" s="101"/>
      <c r="L41" s="101"/>
      <c r="M41" s="101"/>
      <c r="N41" s="101"/>
      <c r="O41" s="101"/>
      <c r="P41" s="101"/>
    </row>
    <row r="42" customFormat="false" ht="15.75" hidden="false" customHeight="false" outlineLevel="0" collapsed="false"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customFormat="false" ht="15" hidden="false" customHeight="false" outlineLevel="0" collapsed="false"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customFormat="false" ht="15" hidden="false" customHeight="true" outlineLevel="0" collapsed="false">
      <c r="G44" s="102" t="s">
        <v>560</v>
      </c>
      <c r="H44" s="102"/>
      <c r="I44" s="102"/>
      <c r="J44" s="102"/>
      <c r="K44" s="102"/>
      <c r="L44" s="102"/>
      <c r="M44" s="102"/>
      <c r="N44" s="102"/>
      <c r="O44" s="102"/>
      <c r="P44" s="102"/>
    </row>
    <row r="45" customFormat="false" ht="15" hidden="false" customHeight="false" outlineLevel="0" collapsed="false"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customFormat="false" ht="15" hidden="false" customHeight="false" outlineLevel="0" collapsed="false"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customFormat="false" ht="15" hidden="false" customHeight="false" outlineLevel="0" collapsed="false"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customFormat="false" ht="15" hidden="false" customHeight="false" outlineLevel="0" collapsed="false"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customFormat="false" ht="15" hidden="false" customHeight="false" outlineLevel="0" collapsed="false"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customFormat="false" ht="15" hidden="false" customHeight="false" outlineLevel="0" collapsed="false"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customFormat="false" ht="33.6" hidden="false" customHeight="true" outlineLevel="0" collapsed="false"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customFormat="false" ht="15" hidden="false" customHeight="false" outlineLevel="0" collapsed="false">
      <c r="G52" s="103"/>
      <c r="H52" s="104"/>
      <c r="I52" s="104"/>
      <c r="J52" s="104"/>
      <c r="K52" s="104"/>
      <c r="L52" s="104"/>
      <c r="M52" s="104"/>
      <c r="N52" s="104"/>
      <c r="O52" s="104"/>
      <c r="P52" s="105"/>
    </row>
    <row r="53" customFormat="false" ht="15" hidden="false" customHeight="false" outlineLevel="0" collapsed="false">
      <c r="G53" s="106"/>
      <c r="H53" s="107"/>
      <c r="I53" s="107"/>
      <c r="J53" s="107"/>
      <c r="K53" s="107"/>
      <c r="L53" s="107"/>
      <c r="M53" s="107"/>
      <c r="N53" s="107"/>
      <c r="O53" s="107"/>
      <c r="P53" s="108"/>
    </row>
    <row r="54" customFormat="false" ht="15" hidden="false" customHeight="false" outlineLevel="0" collapsed="false">
      <c r="G54" s="75"/>
      <c r="H54" s="63"/>
      <c r="I54" s="109"/>
      <c r="J54" s="109"/>
      <c r="K54" s="109"/>
      <c r="L54" s="109"/>
      <c r="M54" s="109"/>
      <c r="N54" s="109"/>
      <c r="O54" s="63"/>
      <c r="P54" s="76"/>
    </row>
    <row r="55" customFormat="false" ht="15" hidden="false" customHeight="false" outlineLevel="0" collapsed="false">
      <c r="G55" s="110" t="s">
        <v>529</v>
      </c>
      <c r="H55" s="110"/>
      <c r="I55" s="110"/>
      <c r="J55" s="110"/>
      <c r="K55" s="110"/>
      <c r="L55" s="110"/>
      <c r="M55" s="110"/>
      <c r="N55" s="110"/>
      <c r="O55" s="110"/>
      <c r="P55" s="110"/>
    </row>
    <row r="56" customFormat="false" ht="15" hidden="false" customHeight="false" outlineLevel="0" collapsed="false">
      <c r="G56" s="110" t="s">
        <v>530</v>
      </c>
      <c r="H56" s="110"/>
      <c r="I56" s="110"/>
      <c r="J56" s="110"/>
      <c r="K56" s="110"/>
      <c r="L56" s="110"/>
      <c r="M56" s="110"/>
      <c r="N56" s="110"/>
      <c r="O56" s="110"/>
      <c r="P56" s="110"/>
    </row>
    <row r="57" customFormat="false" ht="15" hidden="false" customHeight="false" outlineLevel="0" collapsed="false">
      <c r="G57" s="110" t="s">
        <v>531</v>
      </c>
      <c r="H57" s="110"/>
      <c r="I57" s="110"/>
      <c r="J57" s="110"/>
      <c r="K57" s="110"/>
      <c r="L57" s="110"/>
      <c r="M57" s="110"/>
      <c r="N57" s="110"/>
      <c r="O57" s="110"/>
      <c r="P57" s="110"/>
    </row>
    <row r="58" customFormat="false" ht="15" hidden="false" customHeight="false" outlineLevel="0" collapsed="false">
      <c r="G58" s="111" t="s">
        <v>532</v>
      </c>
      <c r="H58" s="111"/>
      <c r="I58" s="111"/>
      <c r="J58" s="111"/>
      <c r="K58" s="111"/>
      <c r="L58" s="111"/>
      <c r="M58" s="111"/>
      <c r="N58" s="111"/>
      <c r="O58" s="111"/>
      <c r="P58" s="111"/>
    </row>
  </sheetData>
  <mergeCells count="16">
    <mergeCell ref="G2:P2"/>
    <mergeCell ref="G3:N3"/>
    <mergeCell ref="G4:N4"/>
    <mergeCell ref="G5:L5"/>
    <mergeCell ref="M5:N5"/>
    <mergeCell ref="G29:P29"/>
    <mergeCell ref="G34:H34"/>
    <mergeCell ref="H38:I39"/>
    <mergeCell ref="J38:K39"/>
    <mergeCell ref="L38:M39"/>
    <mergeCell ref="G41:P43"/>
    <mergeCell ref="G44:P51"/>
    <mergeCell ref="G55:P55"/>
    <mergeCell ref="G56:P56"/>
    <mergeCell ref="G57:P57"/>
    <mergeCell ref="G58:P58"/>
  </mergeCells>
  <printOptions headings="false" gridLines="false" gridLinesSet="true" horizontalCentered="tru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D3:U470"/>
  <sheetViews>
    <sheetView showFormulas="false" showGridLines="true" showRowColHeaders="true" showZeros="true" rightToLeft="false" tabSelected="false" showOutlineSymbols="true" defaultGridColor="true" view="normal" topLeftCell="A268" colorId="64" zoomScale="100" zoomScaleNormal="100" zoomScalePageLayoutView="100" workbookViewId="0">
      <selection pane="topLeft" activeCell="D7" activeCellId="0" sqref="D7"/>
    </sheetView>
  </sheetViews>
  <sheetFormatPr defaultColWidth="8.6875" defaultRowHeight="15" zeroHeight="false" outlineLevelRow="0" outlineLevelCol="0"/>
  <cols>
    <col collapsed="false" customWidth="true" hidden="false" outlineLevel="0" max="4" min="4" style="112" width="9"/>
    <col collapsed="false" customWidth="true" hidden="false" outlineLevel="0" max="5" min="5" style="112" width="8.86"/>
    <col collapsed="false" customWidth="true" hidden="false" outlineLevel="0" max="6" min="6" style="112" width="13.29"/>
    <col collapsed="false" customWidth="true" hidden="false" outlineLevel="0" max="7" min="7" style="113" width="51"/>
    <col collapsed="false" customWidth="true" hidden="false" outlineLevel="0" max="8" min="8" style="112" width="8.86"/>
    <col collapsed="false" customWidth="true" hidden="false" outlineLevel="0" max="9" min="9" style="112" width="11.71"/>
    <col collapsed="false" customWidth="true" hidden="false" outlineLevel="0" max="10" min="10" style="114" width="13.29"/>
    <col collapsed="false" customWidth="true" hidden="false" outlineLevel="0" max="11" min="11" style="112" width="13.43"/>
    <col collapsed="false" customWidth="true" hidden="false" outlineLevel="0" max="12" min="12" style="112" width="20.57"/>
    <col collapsed="false" customWidth="true" hidden="false" outlineLevel="0" max="16" min="14" style="0" width="12.57"/>
  </cols>
  <sheetData>
    <row r="3" customFormat="false" ht="28.9" hidden="false" customHeight="true" outlineLevel="0" collapsed="false">
      <c r="D3" s="115" t="s">
        <v>561</v>
      </c>
      <c r="E3" s="115"/>
      <c r="F3" s="115"/>
      <c r="G3" s="115"/>
      <c r="H3" s="115"/>
      <c r="I3" s="115"/>
      <c r="J3" s="115"/>
      <c r="K3" s="115"/>
      <c r="L3" s="115"/>
    </row>
    <row r="4" customFormat="false" ht="15" hidden="false" customHeight="false" outlineLevel="0" collapsed="false">
      <c r="D4" s="116" t="s">
        <v>562</v>
      </c>
      <c r="E4" s="116"/>
      <c r="F4" s="116"/>
      <c r="G4" s="116"/>
      <c r="H4" s="116"/>
      <c r="I4" s="116"/>
      <c r="J4" s="116"/>
      <c r="K4" s="116"/>
      <c r="L4" s="116"/>
    </row>
    <row r="5" customFormat="false" ht="15" hidden="false" customHeight="false" outlineLevel="0" collapsed="false">
      <c r="D5" s="116" t="s">
        <v>563</v>
      </c>
      <c r="E5" s="116"/>
      <c r="F5" s="116"/>
      <c r="G5" s="116"/>
      <c r="H5" s="116"/>
      <c r="I5" s="116"/>
      <c r="J5" s="116"/>
      <c r="K5" s="116"/>
      <c r="L5" s="116"/>
    </row>
    <row r="6" customFormat="false" ht="15" hidden="false" customHeight="false" outlineLevel="0" collapsed="false">
      <c r="D6" s="116" t="s">
        <v>564</v>
      </c>
      <c r="E6" s="116"/>
      <c r="F6" s="116"/>
      <c r="G6" s="116"/>
      <c r="H6" s="116"/>
      <c r="I6" s="116"/>
      <c r="J6" s="116"/>
      <c r="K6" s="116"/>
      <c r="L6" s="116"/>
      <c r="O6" s="117"/>
    </row>
    <row r="7" customFormat="false" ht="15" hidden="false" customHeight="false" outlineLevel="0" collapsed="false">
      <c r="D7" s="118" t="s">
        <v>565</v>
      </c>
      <c r="E7" s="118"/>
      <c r="F7" s="118"/>
      <c r="G7" s="118"/>
      <c r="H7" s="118"/>
      <c r="I7" s="118"/>
      <c r="J7" s="118"/>
      <c r="K7" s="119" t="n">
        <v>0.25</v>
      </c>
      <c r="L7" s="119"/>
      <c r="O7" s="117"/>
    </row>
    <row r="8" customFormat="false" ht="38.25" hidden="false" customHeight="false" outlineLevel="0" collapsed="false">
      <c r="D8" s="120" t="s">
        <v>4</v>
      </c>
      <c r="E8" s="120" t="s">
        <v>5</v>
      </c>
      <c r="F8" s="120" t="s">
        <v>6</v>
      </c>
      <c r="G8" s="120" t="s">
        <v>7</v>
      </c>
      <c r="H8" s="120" t="s">
        <v>8</v>
      </c>
      <c r="I8" s="121" t="s">
        <v>10</v>
      </c>
      <c r="J8" s="122" t="s">
        <v>566</v>
      </c>
      <c r="K8" s="121" t="s">
        <v>567</v>
      </c>
      <c r="L8" s="120" t="s">
        <v>568</v>
      </c>
      <c r="N8" s="117"/>
      <c r="O8" s="117"/>
      <c r="P8" s="117"/>
    </row>
    <row r="9" customFormat="false" ht="15" hidden="false" customHeight="false" outlineLevel="0" collapsed="false">
      <c r="D9" s="115" t="s">
        <v>11</v>
      </c>
      <c r="E9" s="115"/>
      <c r="F9" s="115"/>
      <c r="G9" s="115"/>
      <c r="H9" s="115"/>
      <c r="I9" s="115"/>
      <c r="J9" s="115"/>
      <c r="K9" s="115"/>
      <c r="L9" s="115"/>
      <c r="O9" s="117"/>
    </row>
    <row r="10" customFormat="false" ht="15.6" hidden="false" customHeight="true" outlineLevel="0" collapsed="false">
      <c r="D10" s="123" t="n">
        <v>1</v>
      </c>
      <c r="E10" s="123"/>
      <c r="F10" s="123"/>
      <c r="G10" s="124" t="s">
        <v>12</v>
      </c>
      <c r="H10" s="123"/>
      <c r="I10" s="123"/>
      <c r="J10" s="123"/>
      <c r="K10" s="123"/>
      <c r="L10" s="123"/>
      <c r="N10" s="117"/>
      <c r="O10" s="117"/>
    </row>
    <row r="11" customFormat="false" ht="25.5" hidden="false" customHeight="false" outlineLevel="0" collapsed="false">
      <c r="D11" s="125" t="s">
        <v>13</v>
      </c>
      <c r="E11" s="125" t="s">
        <v>14</v>
      </c>
      <c r="F11" s="125" t="n">
        <v>97644</v>
      </c>
      <c r="G11" s="126" t="s">
        <v>16</v>
      </c>
      <c r="H11" s="125" t="s">
        <v>17</v>
      </c>
      <c r="I11" s="127" t="n">
        <v>40.32</v>
      </c>
      <c r="J11" s="128" t="n">
        <v>6.22</v>
      </c>
      <c r="K11" s="128" t="n">
        <f aca="false">J11*(1+$K$7)</f>
        <v>7.775</v>
      </c>
      <c r="L11" s="128" t="n">
        <f aca="false">I11*K11</f>
        <v>313.488</v>
      </c>
      <c r="N11" s="117"/>
      <c r="O11" s="117"/>
    </row>
    <row r="12" customFormat="false" ht="25.5" hidden="false" customHeight="false" outlineLevel="0" collapsed="false">
      <c r="D12" s="125" t="s">
        <v>19</v>
      </c>
      <c r="E12" s="125" t="s">
        <v>14</v>
      </c>
      <c r="F12" s="125" t="n">
        <v>97645</v>
      </c>
      <c r="G12" s="126" t="s">
        <v>21</v>
      </c>
      <c r="H12" s="125" t="s">
        <v>17</v>
      </c>
      <c r="I12" s="127" t="n">
        <v>36</v>
      </c>
      <c r="J12" s="128" t="n">
        <v>25.78</v>
      </c>
      <c r="K12" s="128" t="n">
        <f aca="false">J12*(1+$K$7)</f>
        <v>32.225</v>
      </c>
      <c r="L12" s="128" t="n">
        <f aca="false">I12*K12</f>
        <v>1160.1</v>
      </c>
      <c r="N12" s="117"/>
      <c r="O12" s="117"/>
    </row>
    <row r="13" customFormat="false" ht="39" hidden="false" customHeight="false" outlineLevel="0" collapsed="false">
      <c r="D13" s="125" t="s">
        <v>23</v>
      </c>
      <c r="E13" s="125" t="s">
        <v>14</v>
      </c>
      <c r="F13" s="125" t="n">
        <v>97624</v>
      </c>
      <c r="G13" s="129" t="s">
        <v>24</v>
      </c>
      <c r="H13" s="125" t="s">
        <v>25</v>
      </c>
      <c r="I13" s="127" t="n">
        <v>23.27</v>
      </c>
      <c r="J13" s="128" t="n">
        <v>69.96</v>
      </c>
      <c r="K13" s="128" t="n">
        <f aca="false">J13*(1+$K$7)</f>
        <v>87.45</v>
      </c>
      <c r="L13" s="128" t="n">
        <f aca="false">I13*K13</f>
        <v>2034.9615</v>
      </c>
      <c r="N13" s="117"/>
      <c r="O13" s="117"/>
    </row>
    <row r="14" customFormat="false" ht="15" hidden="false" customHeight="false" outlineLevel="0" collapsed="false">
      <c r="D14" s="130" t="s">
        <v>569</v>
      </c>
      <c r="E14" s="130"/>
      <c r="F14" s="130"/>
      <c r="G14" s="130"/>
      <c r="H14" s="130"/>
      <c r="I14" s="130"/>
      <c r="J14" s="130"/>
      <c r="K14" s="130"/>
      <c r="L14" s="131" t="n">
        <f aca="false">SUM(L11:L13)</f>
        <v>3508.5495</v>
      </c>
      <c r="N14" s="117"/>
      <c r="O14" s="117"/>
    </row>
    <row r="15" customFormat="false" ht="15" hidden="false" customHeight="false" outlineLevel="0" collapsed="false">
      <c r="D15" s="123" t="n">
        <v>2</v>
      </c>
      <c r="E15" s="123"/>
      <c r="F15" s="123"/>
      <c r="G15" s="124" t="s">
        <v>27</v>
      </c>
      <c r="H15" s="123"/>
      <c r="I15" s="123"/>
      <c r="J15" s="123"/>
      <c r="K15" s="123"/>
      <c r="L15" s="123"/>
      <c r="N15" s="117"/>
      <c r="O15" s="117"/>
    </row>
    <row r="16" customFormat="false" ht="76.5" hidden="false" customHeight="false" outlineLevel="0" collapsed="false">
      <c r="D16" s="125" t="s">
        <v>28</v>
      </c>
      <c r="E16" s="125" t="s">
        <v>14</v>
      </c>
      <c r="F16" s="125" t="n">
        <v>87507</v>
      </c>
      <c r="G16" s="126" t="s">
        <v>30</v>
      </c>
      <c r="H16" s="125" t="s">
        <v>17</v>
      </c>
      <c r="I16" s="127" t="n">
        <v>130.26</v>
      </c>
      <c r="J16" s="128" t="n">
        <v>73.88</v>
      </c>
      <c r="K16" s="128" t="n">
        <f aca="false">J16*(1+$K$7)</f>
        <v>92.35</v>
      </c>
      <c r="L16" s="128" t="n">
        <f aca="false">I16*K16</f>
        <v>12029.511</v>
      </c>
      <c r="M16" s="132"/>
      <c r="N16" s="133"/>
      <c r="O16" s="133"/>
      <c r="P16" s="91"/>
      <c r="Q16" s="91"/>
      <c r="R16" s="91"/>
      <c r="S16" s="91"/>
      <c r="T16" s="91"/>
      <c r="U16" s="134"/>
    </row>
    <row r="17" customFormat="false" ht="15" hidden="false" customHeight="false" outlineLevel="0" collapsed="false">
      <c r="D17" s="130" t="s">
        <v>569</v>
      </c>
      <c r="E17" s="130"/>
      <c r="F17" s="130"/>
      <c r="G17" s="130"/>
      <c r="H17" s="130"/>
      <c r="I17" s="130"/>
      <c r="J17" s="130"/>
      <c r="K17" s="130"/>
      <c r="L17" s="131" t="n">
        <f aca="false">SUM(L16)</f>
        <v>12029.511</v>
      </c>
      <c r="N17" s="117"/>
      <c r="O17" s="117"/>
    </row>
    <row r="18" customFormat="false" ht="15" hidden="false" customHeight="false" outlineLevel="0" collapsed="false">
      <c r="D18" s="123" t="n">
        <v>3</v>
      </c>
      <c r="E18" s="123"/>
      <c r="F18" s="123"/>
      <c r="G18" s="124" t="s">
        <v>32</v>
      </c>
      <c r="H18" s="123"/>
      <c r="I18" s="123"/>
      <c r="J18" s="123"/>
      <c r="K18" s="123"/>
      <c r="L18" s="123"/>
      <c r="N18" s="117"/>
      <c r="O18" s="117"/>
    </row>
    <row r="19" customFormat="false" ht="63.75" hidden="false" customHeight="false" outlineLevel="0" collapsed="false">
      <c r="D19" s="125" t="s">
        <v>33</v>
      </c>
      <c r="E19" s="125" t="s">
        <v>34</v>
      </c>
      <c r="F19" s="125" t="s">
        <v>35</v>
      </c>
      <c r="G19" s="126" t="s">
        <v>36</v>
      </c>
      <c r="H19" s="125" t="s">
        <v>17</v>
      </c>
      <c r="I19" s="127" t="n">
        <v>7.2</v>
      </c>
      <c r="J19" s="128" t="n">
        <v>396.27</v>
      </c>
      <c r="K19" s="128" t="n">
        <f aca="false">J19*(1+$K$7)</f>
        <v>495.3375</v>
      </c>
      <c r="L19" s="128" t="n">
        <f aca="false">I19*K19</f>
        <v>3566.43</v>
      </c>
      <c r="N19" s="117"/>
      <c r="O19" s="117"/>
    </row>
    <row r="20" customFormat="false" ht="63.75" hidden="false" customHeight="false" outlineLevel="0" collapsed="false">
      <c r="D20" s="125" t="s">
        <v>38</v>
      </c>
      <c r="E20" s="125" t="s">
        <v>14</v>
      </c>
      <c r="F20" s="125" t="n">
        <v>94573</v>
      </c>
      <c r="G20" s="126" t="s">
        <v>39</v>
      </c>
      <c r="H20" s="125" t="s">
        <v>17</v>
      </c>
      <c r="I20" s="127" t="n">
        <v>28.8</v>
      </c>
      <c r="J20" s="128" t="n">
        <v>297.31</v>
      </c>
      <c r="K20" s="128" t="n">
        <f aca="false">J20*(1+$K$7)</f>
        <v>371.6375</v>
      </c>
      <c r="L20" s="128" t="n">
        <f aca="false">I20*K20</f>
        <v>10703.16</v>
      </c>
      <c r="N20" s="117"/>
    </row>
    <row r="21" customFormat="false" ht="63.75" hidden="false" customHeight="false" outlineLevel="0" collapsed="false">
      <c r="D21" s="125" t="s">
        <v>41</v>
      </c>
      <c r="E21" s="125" t="s">
        <v>34</v>
      </c>
      <c r="F21" s="125" t="s">
        <v>42</v>
      </c>
      <c r="G21" s="126" t="s">
        <v>43</v>
      </c>
      <c r="H21" s="125" t="s">
        <v>17</v>
      </c>
      <c r="I21" s="127" t="n">
        <v>8.4</v>
      </c>
      <c r="J21" s="128" t="n">
        <v>303.69</v>
      </c>
      <c r="K21" s="128" t="n">
        <f aca="false">J21*(1+$K$7)</f>
        <v>379.6125</v>
      </c>
      <c r="L21" s="128" t="n">
        <f aca="false">I21*K21</f>
        <v>3188.745</v>
      </c>
      <c r="N21" s="117"/>
    </row>
    <row r="22" customFormat="false" ht="38.25" hidden="false" customHeight="false" outlineLevel="0" collapsed="false">
      <c r="D22" s="125" t="s">
        <v>45</v>
      </c>
      <c r="E22" s="125" t="s">
        <v>14</v>
      </c>
      <c r="F22" s="125" t="n">
        <v>91338</v>
      </c>
      <c r="G22" s="126" t="s">
        <v>46</v>
      </c>
      <c r="H22" s="125" t="s">
        <v>17</v>
      </c>
      <c r="I22" s="127" t="n">
        <v>8.4</v>
      </c>
      <c r="J22" s="128" t="n">
        <v>759.06</v>
      </c>
      <c r="K22" s="128" t="n">
        <f aca="false">J22*(1+$K$7)</f>
        <v>948.825</v>
      </c>
      <c r="L22" s="128" t="n">
        <f aca="false">I22*K22</f>
        <v>7970.13</v>
      </c>
      <c r="N22" s="117"/>
    </row>
    <row r="23" customFormat="false" ht="51" hidden="false" customHeight="false" outlineLevel="0" collapsed="false">
      <c r="D23" s="125" t="s">
        <v>47</v>
      </c>
      <c r="E23" s="125" t="s">
        <v>14</v>
      </c>
      <c r="F23" s="125" t="n">
        <v>100702</v>
      </c>
      <c r="G23" s="126" t="s">
        <v>48</v>
      </c>
      <c r="H23" s="125" t="s">
        <v>17</v>
      </c>
      <c r="I23" s="127" t="n">
        <v>3.15</v>
      </c>
      <c r="J23" s="128" t="n">
        <v>459.7</v>
      </c>
      <c r="K23" s="128" t="n">
        <f aca="false">J23*(1+$K$7)</f>
        <v>574.625</v>
      </c>
      <c r="L23" s="128" t="n">
        <f aca="false">I23*K23</f>
        <v>1810.06875</v>
      </c>
      <c r="N23" s="117"/>
    </row>
    <row r="24" customFormat="false" ht="51" hidden="false" customHeight="false" outlineLevel="0" collapsed="false">
      <c r="D24" s="125" t="s">
        <v>50</v>
      </c>
      <c r="E24" s="125" t="s">
        <v>14</v>
      </c>
      <c r="F24" s="125" t="n">
        <v>94805</v>
      </c>
      <c r="G24" s="126" t="s">
        <v>51</v>
      </c>
      <c r="H24" s="125" t="s">
        <v>17</v>
      </c>
      <c r="I24" s="127" t="n">
        <v>15.12</v>
      </c>
      <c r="J24" s="128" t="n">
        <v>893.84</v>
      </c>
      <c r="K24" s="128" t="n">
        <f aca="false">J24*(1+$K$7)</f>
        <v>1117.3</v>
      </c>
      <c r="L24" s="128" t="n">
        <f aca="false">I24*K24</f>
        <v>16893.576</v>
      </c>
      <c r="N24" s="117"/>
    </row>
    <row r="25" customFormat="false" ht="15" hidden="false" customHeight="false" outlineLevel="0" collapsed="false">
      <c r="D25" s="130" t="s">
        <v>569</v>
      </c>
      <c r="E25" s="130"/>
      <c r="F25" s="130"/>
      <c r="G25" s="130"/>
      <c r="H25" s="130"/>
      <c r="I25" s="130"/>
      <c r="J25" s="130"/>
      <c r="K25" s="130"/>
      <c r="L25" s="131" t="n">
        <f aca="false">SUM(L19:L24)</f>
        <v>44132.10975</v>
      </c>
      <c r="N25" s="117"/>
    </row>
    <row r="26" customFormat="false" ht="15" hidden="false" customHeight="false" outlineLevel="0" collapsed="false">
      <c r="D26" s="123" t="n">
        <v>4</v>
      </c>
      <c r="E26" s="123"/>
      <c r="F26" s="123"/>
      <c r="G26" s="124" t="s">
        <v>53</v>
      </c>
      <c r="H26" s="123"/>
      <c r="I26" s="123"/>
      <c r="J26" s="123"/>
      <c r="K26" s="123"/>
      <c r="L26" s="123"/>
      <c r="N26" s="117"/>
    </row>
    <row r="27" customFormat="false" ht="38.25" hidden="false" customHeight="false" outlineLevel="0" collapsed="false">
      <c r="D27" s="125" t="s">
        <v>54</v>
      </c>
      <c r="E27" s="125" t="s">
        <v>14</v>
      </c>
      <c r="F27" s="125" t="n">
        <v>94319</v>
      </c>
      <c r="G27" s="126" t="s">
        <v>56</v>
      </c>
      <c r="H27" s="125" t="s">
        <v>25</v>
      </c>
      <c r="I27" s="127" t="n">
        <v>3.56</v>
      </c>
      <c r="J27" s="135" t="n">
        <v>34.66</v>
      </c>
      <c r="K27" s="128" t="n">
        <f aca="false">J27*(1+$K$7)</f>
        <v>43.325</v>
      </c>
      <c r="L27" s="128" t="n">
        <f aca="false">I27*K27</f>
        <v>154.237</v>
      </c>
      <c r="N27" s="117"/>
    </row>
    <row r="28" customFormat="false" ht="15" hidden="false" customHeight="false" outlineLevel="0" collapsed="false">
      <c r="D28" s="130" t="s">
        <v>569</v>
      </c>
      <c r="E28" s="130"/>
      <c r="F28" s="130"/>
      <c r="G28" s="130"/>
      <c r="H28" s="130"/>
      <c r="I28" s="130"/>
      <c r="J28" s="130"/>
      <c r="K28" s="130"/>
      <c r="L28" s="131" t="n">
        <f aca="false">SUM(L27)</f>
        <v>154.237</v>
      </c>
    </row>
    <row r="29" customFormat="false" ht="15" hidden="false" customHeight="false" outlineLevel="0" collapsed="false">
      <c r="D29" s="123" t="n">
        <v>5</v>
      </c>
      <c r="E29" s="123"/>
      <c r="F29" s="123"/>
      <c r="G29" s="124" t="s">
        <v>58</v>
      </c>
      <c r="H29" s="123" t="s">
        <v>570</v>
      </c>
      <c r="I29" s="123"/>
      <c r="J29" s="123"/>
      <c r="K29" s="123"/>
      <c r="L29" s="123"/>
    </row>
    <row r="30" customFormat="false" ht="63.75" hidden="false" customHeight="false" outlineLevel="0" collapsed="false">
      <c r="D30" s="125" t="s">
        <v>59</v>
      </c>
      <c r="E30" s="125" t="s">
        <v>14</v>
      </c>
      <c r="F30" s="125" t="n">
        <v>87894</v>
      </c>
      <c r="G30" s="126" t="s">
        <v>61</v>
      </c>
      <c r="H30" s="125" t="s">
        <v>17</v>
      </c>
      <c r="I30" s="127" t="n">
        <v>260.52</v>
      </c>
      <c r="J30" s="135" t="n">
        <v>4.94</v>
      </c>
      <c r="K30" s="128" t="n">
        <f aca="false">J30*(1+$K$7)</f>
        <v>6.175</v>
      </c>
      <c r="L30" s="128" t="n">
        <f aca="false">I30*K30</f>
        <v>1608.711</v>
      </c>
    </row>
    <row r="31" customFormat="false" ht="76.5" hidden="false" customHeight="false" outlineLevel="0" collapsed="false">
      <c r="D31" s="125" t="s">
        <v>63</v>
      </c>
      <c r="E31" s="125" t="s">
        <v>14</v>
      </c>
      <c r="F31" s="125" t="n">
        <v>87549</v>
      </c>
      <c r="G31" s="126" t="s">
        <v>65</v>
      </c>
      <c r="H31" s="125" t="s">
        <v>17</v>
      </c>
      <c r="I31" s="127" t="n">
        <v>156.09</v>
      </c>
      <c r="J31" s="135" t="n">
        <v>16.36</v>
      </c>
      <c r="K31" s="128" t="n">
        <f aca="false">J31*(1+$K$7)</f>
        <v>20.45</v>
      </c>
      <c r="L31" s="128" t="n">
        <f aca="false">I31*K31</f>
        <v>3192.0405</v>
      </c>
    </row>
    <row r="32" customFormat="false" ht="63.75" hidden="false" customHeight="false" outlineLevel="0" collapsed="false">
      <c r="D32" s="125" t="s">
        <v>67</v>
      </c>
      <c r="E32" s="125" t="s">
        <v>14</v>
      </c>
      <c r="F32" s="125" t="n">
        <v>87264</v>
      </c>
      <c r="G32" s="126" t="s">
        <v>69</v>
      </c>
      <c r="H32" s="125" t="s">
        <v>17</v>
      </c>
      <c r="I32" s="136" t="n">
        <v>271.5</v>
      </c>
      <c r="J32" s="135" t="n">
        <v>54.15</v>
      </c>
      <c r="K32" s="128" t="n">
        <f aca="false">J32*(1+$K$7)</f>
        <v>67.6875</v>
      </c>
      <c r="L32" s="128" t="n">
        <f aca="false">I32*K32</f>
        <v>18377.15625</v>
      </c>
      <c r="N32" s="117"/>
    </row>
    <row r="33" customFormat="false" ht="63.75" hidden="false" customHeight="false" outlineLevel="0" collapsed="false">
      <c r="D33" s="125" t="s">
        <v>71</v>
      </c>
      <c r="E33" s="125" t="s">
        <v>14</v>
      </c>
      <c r="F33" s="125" t="n">
        <v>87529</v>
      </c>
      <c r="G33" s="126" t="s">
        <v>73</v>
      </c>
      <c r="H33" s="125" t="s">
        <v>17</v>
      </c>
      <c r="I33" s="136" t="n">
        <v>104.52</v>
      </c>
      <c r="J33" s="135" t="n">
        <v>26.97</v>
      </c>
      <c r="K33" s="128" t="n">
        <f aca="false">J33*(1+$K$7)</f>
        <v>33.7125</v>
      </c>
      <c r="L33" s="128" t="n">
        <f aca="false">I33*K33</f>
        <v>3523.6305</v>
      </c>
    </row>
    <row r="34" customFormat="false" ht="15" hidden="false" customHeight="false" outlineLevel="0" collapsed="false">
      <c r="D34" s="130" t="s">
        <v>569</v>
      </c>
      <c r="E34" s="130"/>
      <c r="F34" s="130"/>
      <c r="G34" s="130"/>
      <c r="H34" s="130"/>
      <c r="I34" s="130"/>
      <c r="J34" s="130"/>
      <c r="K34" s="130"/>
      <c r="L34" s="131" t="n">
        <f aca="false">SUM(L30:L33)</f>
        <v>26701.53825</v>
      </c>
    </row>
    <row r="35" customFormat="false" ht="15" hidden="false" customHeight="false" outlineLevel="0" collapsed="false">
      <c r="D35" s="123" t="n">
        <v>6</v>
      </c>
      <c r="E35" s="123"/>
      <c r="F35" s="123"/>
      <c r="G35" s="124" t="s">
        <v>75</v>
      </c>
      <c r="H35" s="123"/>
      <c r="I35" s="123"/>
      <c r="J35" s="123"/>
      <c r="K35" s="123"/>
      <c r="L35" s="123"/>
    </row>
    <row r="36" customFormat="false" ht="51" hidden="false" customHeight="false" outlineLevel="0" collapsed="false">
      <c r="D36" s="137" t="s">
        <v>76</v>
      </c>
      <c r="E36" s="125" t="s">
        <v>14</v>
      </c>
      <c r="F36" s="125" t="n">
        <v>87700</v>
      </c>
      <c r="G36" s="126" t="s">
        <v>78</v>
      </c>
      <c r="H36" s="125" t="s">
        <v>17</v>
      </c>
      <c r="I36" s="136" t="n">
        <v>0.47</v>
      </c>
      <c r="J36" s="135" t="n">
        <v>38.7</v>
      </c>
      <c r="K36" s="128" t="n">
        <f aca="false">J36*(1+$K$7)</f>
        <v>48.375</v>
      </c>
      <c r="L36" s="128" t="n">
        <f aca="false">I36*K36</f>
        <v>22.73625</v>
      </c>
    </row>
    <row r="37" customFormat="false" ht="51" hidden="false" customHeight="false" outlineLevel="0" collapsed="false">
      <c r="D37" s="137" t="s">
        <v>80</v>
      </c>
      <c r="E37" s="125" t="s">
        <v>34</v>
      </c>
      <c r="F37" s="125" t="s">
        <v>81</v>
      </c>
      <c r="G37" s="138" t="s">
        <v>82</v>
      </c>
      <c r="H37" s="125" t="s">
        <v>17</v>
      </c>
      <c r="I37" s="136" t="n">
        <v>395</v>
      </c>
      <c r="J37" s="135" t="n">
        <v>79.82</v>
      </c>
      <c r="K37" s="128" t="n">
        <f aca="false">J37*(1+$K$7)</f>
        <v>99.775</v>
      </c>
      <c r="L37" s="128" t="n">
        <f aca="false">I37*K37</f>
        <v>39411.125</v>
      </c>
    </row>
    <row r="38" customFormat="false" ht="15" hidden="false" customHeight="false" outlineLevel="0" collapsed="false">
      <c r="D38" s="130" t="s">
        <v>569</v>
      </c>
      <c r="E38" s="130"/>
      <c r="F38" s="130"/>
      <c r="G38" s="130"/>
      <c r="H38" s="130"/>
      <c r="I38" s="130"/>
      <c r="J38" s="130"/>
      <c r="K38" s="130"/>
      <c r="L38" s="131" t="n">
        <f aca="false">SUM(L36:L37)</f>
        <v>39433.86125</v>
      </c>
    </row>
    <row r="39" customFormat="false" ht="15" hidden="false" customHeight="false" outlineLevel="0" collapsed="false">
      <c r="D39" s="123" t="n">
        <v>7</v>
      </c>
      <c r="E39" s="123"/>
      <c r="F39" s="123"/>
      <c r="G39" s="124" t="s">
        <v>84</v>
      </c>
      <c r="H39" s="123"/>
      <c r="I39" s="123"/>
      <c r="J39" s="123"/>
      <c r="K39" s="123"/>
      <c r="L39" s="123"/>
    </row>
    <row r="40" customFormat="false" ht="45" hidden="false" customHeight="false" outlineLevel="0" collapsed="false">
      <c r="D40" s="137" t="s">
        <v>85</v>
      </c>
      <c r="E40" s="125" t="s">
        <v>34</v>
      </c>
      <c r="F40" s="125" t="s">
        <v>86</v>
      </c>
      <c r="G40" s="139" t="s">
        <v>246</v>
      </c>
      <c r="H40" s="125" t="s">
        <v>17</v>
      </c>
      <c r="I40" s="136" t="n">
        <v>241.46</v>
      </c>
      <c r="J40" s="135" t="n">
        <v>18.66</v>
      </c>
      <c r="K40" s="128" t="n">
        <f aca="false">J40*(1+$K$7)</f>
        <v>23.325</v>
      </c>
      <c r="L40" s="128" t="n">
        <f aca="false">I40*K40</f>
        <v>5632.0545</v>
      </c>
    </row>
    <row r="41" customFormat="false" ht="25.5" hidden="false" customHeight="false" outlineLevel="0" collapsed="false">
      <c r="D41" s="137" t="s">
        <v>89</v>
      </c>
      <c r="E41" s="125" t="s">
        <v>14</v>
      </c>
      <c r="F41" s="125" t="n">
        <v>88489</v>
      </c>
      <c r="G41" s="126" t="s">
        <v>90</v>
      </c>
      <c r="H41" s="125" t="s">
        <v>17</v>
      </c>
      <c r="I41" s="136" t="n">
        <v>789.68</v>
      </c>
      <c r="J41" s="135" t="n">
        <v>11.95</v>
      </c>
      <c r="K41" s="128" t="n">
        <f aca="false">J41*(1+$K$7)</f>
        <v>14.9375</v>
      </c>
      <c r="L41" s="128" t="n">
        <f aca="false">I41*K41</f>
        <v>11795.845</v>
      </c>
    </row>
    <row r="42" customFormat="false" ht="63.75" hidden="false" customHeight="false" outlineLevel="0" collapsed="false">
      <c r="D42" s="137" t="s">
        <v>92</v>
      </c>
      <c r="E42" s="125" t="s">
        <v>14</v>
      </c>
      <c r="F42" s="125" t="n">
        <v>100758</v>
      </c>
      <c r="G42" s="126" t="s">
        <v>93</v>
      </c>
      <c r="H42" s="125" t="s">
        <v>17</v>
      </c>
      <c r="I42" s="136" t="n">
        <v>16.8</v>
      </c>
      <c r="J42" s="135" t="n">
        <v>36.08</v>
      </c>
      <c r="K42" s="128" t="n">
        <f aca="false">J42*(1+$K$7)</f>
        <v>45.1</v>
      </c>
      <c r="L42" s="128" t="n">
        <f aca="false">I42*K42</f>
        <v>757.68</v>
      </c>
    </row>
    <row r="43" customFormat="false" ht="15" hidden="false" customHeight="false" outlineLevel="0" collapsed="false">
      <c r="D43" s="130" t="s">
        <v>569</v>
      </c>
      <c r="E43" s="130"/>
      <c r="F43" s="130"/>
      <c r="G43" s="130"/>
      <c r="H43" s="130"/>
      <c r="I43" s="130"/>
      <c r="J43" s="130"/>
      <c r="K43" s="130"/>
      <c r="L43" s="131" t="n">
        <f aca="false">SUM(L40:L42)</f>
        <v>18185.5795</v>
      </c>
    </row>
    <row r="44" customFormat="false" ht="15" hidden="false" customHeight="false" outlineLevel="0" collapsed="false">
      <c r="D44" s="123" t="n">
        <v>8</v>
      </c>
      <c r="E44" s="123"/>
      <c r="F44" s="123"/>
      <c r="G44" s="124" t="s">
        <v>95</v>
      </c>
      <c r="H44" s="123"/>
      <c r="I44" s="123"/>
      <c r="J44" s="123"/>
      <c r="K44" s="123"/>
      <c r="L44" s="123"/>
    </row>
    <row r="45" customFormat="false" ht="25.5" hidden="false" customHeight="false" outlineLevel="0" collapsed="false">
      <c r="D45" s="137" t="s">
        <v>96</v>
      </c>
      <c r="E45" s="125" t="s">
        <v>34</v>
      </c>
      <c r="F45" s="125" t="s">
        <v>97</v>
      </c>
      <c r="G45" s="126" t="s">
        <v>98</v>
      </c>
      <c r="H45" s="125" t="s">
        <v>17</v>
      </c>
      <c r="I45" s="136" t="n">
        <v>9.3</v>
      </c>
      <c r="J45" s="135" t="n">
        <v>249.51</v>
      </c>
      <c r="K45" s="128" t="n">
        <f aca="false">J45*(1+$K$7)</f>
        <v>311.8875</v>
      </c>
      <c r="L45" s="128" t="n">
        <f aca="false">I45*K45</f>
        <v>2900.55375</v>
      </c>
    </row>
    <row r="46" customFormat="false" ht="38.25" hidden="false" customHeight="false" outlineLevel="0" collapsed="false">
      <c r="D46" s="140" t="s">
        <v>100</v>
      </c>
      <c r="E46" s="125" t="s">
        <v>101</v>
      </c>
      <c r="F46" s="125" t="n">
        <v>4917</v>
      </c>
      <c r="G46" s="126" t="s">
        <v>102</v>
      </c>
      <c r="H46" s="125" t="s">
        <v>17</v>
      </c>
      <c r="I46" s="141" t="n">
        <v>4.32</v>
      </c>
      <c r="J46" s="135" t="n">
        <v>465.73</v>
      </c>
      <c r="K46" s="128" t="n">
        <f aca="false">J46*(1+$K$7)</f>
        <v>582.1625</v>
      </c>
      <c r="L46" s="128" t="n">
        <f aca="false">I46*K46</f>
        <v>2514.942</v>
      </c>
    </row>
    <row r="47" customFormat="false" ht="15" hidden="false" customHeight="false" outlineLevel="0" collapsed="false">
      <c r="D47" s="130" t="s">
        <v>569</v>
      </c>
      <c r="E47" s="130"/>
      <c r="F47" s="130"/>
      <c r="G47" s="130"/>
      <c r="H47" s="130"/>
      <c r="I47" s="130"/>
      <c r="J47" s="130"/>
      <c r="K47" s="130"/>
      <c r="L47" s="131" t="n">
        <f aca="false">SUM(L45:L46)</f>
        <v>5415.49575</v>
      </c>
    </row>
    <row r="48" customFormat="false" ht="15" hidden="false" customHeight="false" outlineLevel="0" collapsed="false">
      <c r="D48" s="123" t="n">
        <v>9</v>
      </c>
      <c r="E48" s="123"/>
      <c r="F48" s="123"/>
      <c r="G48" s="124" t="s">
        <v>104</v>
      </c>
      <c r="H48" s="123"/>
      <c r="I48" s="123"/>
      <c r="J48" s="123"/>
      <c r="K48" s="123"/>
      <c r="L48" s="123"/>
    </row>
    <row r="49" customFormat="false" ht="25.5" hidden="false" customHeight="false" outlineLevel="0" collapsed="false">
      <c r="D49" s="137" t="s">
        <v>105</v>
      </c>
      <c r="E49" s="125" t="s">
        <v>14</v>
      </c>
      <c r="F49" s="125" t="n">
        <v>99814</v>
      </c>
      <c r="G49" s="126" t="s">
        <v>107</v>
      </c>
      <c r="H49" s="125" t="s">
        <v>17</v>
      </c>
      <c r="I49" s="136" t="n">
        <v>413.43</v>
      </c>
      <c r="J49" s="135" t="n">
        <v>1.27</v>
      </c>
      <c r="K49" s="128" t="n">
        <f aca="false">J49*(1+$K$7)</f>
        <v>1.5875</v>
      </c>
      <c r="L49" s="128" t="n">
        <f aca="false">I49*K49</f>
        <v>656.320125</v>
      </c>
    </row>
    <row r="50" customFormat="false" ht="15" hidden="false" customHeight="false" outlineLevel="0" collapsed="false">
      <c r="D50" s="130" t="s">
        <v>569</v>
      </c>
      <c r="E50" s="130"/>
      <c r="F50" s="130"/>
      <c r="G50" s="130"/>
      <c r="H50" s="130"/>
      <c r="I50" s="130"/>
      <c r="J50" s="130"/>
      <c r="K50" s="130"/>
      <c r="L50" s="131" t="n">
        <f aca="false">SUM(L49)</f>
        <v>656.320125</v>
      </c>
    </row>
    <row r="51" customFormat="false" ht="37.9" hidden="false" customHeight="true" outlineLevel="0" collapsed="false">
      <c r="D51" s="142" t="s">
        <v>571</v>
      </c>
      <c r="E51" s="142"/>
      <c r="F51" s="142"/>
      <c r="G51" s="142"/>
      <c r="H51" s="142"/>
      <c r="I51" s="142"/>
      <c r="J51" s="142"/>
      <c r="K51" s="142"/>
      <c r="L51" s="143" t="n">
        <f aca="false">SUM(L14+L17+L25+L28+L34+L38+L43+L47+L50)</f>
        <v>150217.202125</v>
      </c>
    </row>
    <row r="52" customFormat="false" ht="15" hidden="false" customHeight="false" outlineLevel="0" collapsed="false">
      <c r="D52" s="144"/>
      <c r="E52" s="144"/>
      <c r="F52" s="144"/>
      <c r="G52" s="144"/>
      <c r="H52" s="144"/>
      <c r="I52" s="144"/>
      <c r="J52" s="144"/>
      <c r="K52" s="144"/>
      <c r="L52" s="144"/>
    </row>
    <row r="53" customFormat="false" ht="15" hidden="false" customHeight="false" outlineLevel="0" collapsed="false">
      <c r="D53" s="115" t="s">
        <v>109</v>
      </c>
      <c r="E53" s="115"/>
      <c r="F53" s="115"/>
      <c r="G53" s="115"/>
      <c r="H53" s="115"/>
      <c r="I53" s="115"/>
      <c r="J53" s="115"/>
      <c r="K53" s="115"/>
      <c r="L53" s="115"/>
    </row>
    <row r="54" customFormat="false" ht="15" hidden="false" customHeight="false" outlineLevel="0" collapsed="false">
      <c r="D54" s="123" t="n">
        <v>1</v>
      </c>
      <c r="E54" s="123"/>
      <c r="F54" s="123"/>
      <c r="G54" s="124" t="s">
        <v>12</v>
      </c>
      <c r="H54" s="123"/>
      <c r="I54" s="123"/>
      <c r="J54" s="123"/>
      <c r="K54" s="123"/>
      <c r="L54" s="123"/>
    </row>
    <row r="55" customFormat="false" ht="26.25" hidden="false" customHeight="false" outlineLevel="0" collapsed="false">
      <c r="D55" s="137" t="s">
        <v>13</v>
      </c>
      <c r="E55" s="125" t="s">
        <v>14</v>
      </c>
      <c r="F55" s="125" t="n">
        <v>98524</v>
      </c>
      <c r="G55" s="129" t="s">
        <v>110</v>
      </c>
      <c r="H55" s="125" t="s">
        <v>17</v>
      </c>
      <c r="I55" s="136" t="n">
        <v>712</v>
      </c>
      <c r="J55" s="135" t="n">
        <v>2.37</v>
      </c>
      <c r="K55" s="128" t="n">
        <f aca="false">J55*(1+$K$7)</f>
        <v>2.9625</v>
      </c>
      <c r="L55" s="128" t="n">
        <f aca="false">I55*K55</f>
        <v>2109.3</v>
      </c>
      <c r="N55" s="117"/>
    </row>
    <row r="56" customFormat="false" ht="38.25" hidden="false" customHeight="false" outlineLevel="0" collapsed="false">
      <c r="D56" s="137" t="s">
        <v>19</v>
      </c>
      <c r="E56" s="125" t="s">
        <v>14</v>
      </c>
      <c r="F56" s="125" t="n">
        <v>99059</v>
      </c>
      <c r="G56" s="126" t="s">
        <v>112</v>
      </c>
      <c r="H56" s="125" t="s">
        <v>113</v>
      </c>
      <c r="I56" s="136" t="n">
        <v>97.2</v>
      </c>
      <c r="J56" s="135" t="n">
        <v>60.46</v>
      </c>
      <c r="K56" s="128" t="n">
        <f aca="false">J56*(1+$K$7)</f>
        <v>75.575</v>
      </c>
      <c r="L56" s="128" t="n">
        <f aca="false">I56*K56</f>
        <v>7345.89</v>
      </c>
    </row>
    <row r="57" customFormat="false" ht="15" hidden="false" customHeight="false" outlineLevel="0" collapsed="false">
      <c r="D57" s="130" t="s">
        <v>569</v>
      </c>
      <c r="E57" s="130"/>
      <c r="F57" s="130"/>
      <c r="G57" s="130"/>
      <c r="H57" s="130"/>
      <c r="I57" s="130"/>
      <c r="J57" s="130"/>
      <c r="K57" s="130"/>
      <c r="L57" s="131" t="n">
        <f aca="false">SUM(L55:L56)</f>
        <v>9455.19</v>
      </c>
    </row>
    <row r="58" customFormat="false" ht="15" hidden="false" customHeight="false" outlineLevel="0" collapsed="false">
      <c r="D58" s="123" t="n">
        <v>2</v>
      </c>
      <c r="E58" s="123"/>
      <c r="F58" s="123"/>
      <c r="G58" s="124" t="s">
        <v>114</v>
      </c>
      <c r="H58" s="123"/>
      <c r="I58" s="123"/>
      <c r="J58" s="123"/>
      <c r="K58" s="123"/>
      <c r="L58" s="123"/>
    </row>
    <row r="59" customFormat="false" ht="51" hidden="false" customHeight="false" outlineLevel="0" collapsed="false">
      <c r="D59" s="137" t="s">
        <v>28</v>
      </c>
      <c r="E59" s="125" t="s">
        <v>14</v>
      </c>
      <c r="F59" s="125" t="n">
        <v>100899</v>
      </c>
      <c r="G59" s="126" t="s">
        <v>115</v>
      </c>
      <c r="H59" s="125" t="s">
        <v>113</v>
      </c>
      <c r="I59" s="145" t="n">
        <v>404</v>
      </c>
      <c r="J59" s="135" t="n">
        <v>64.8</v>
      </c>
      <c r="K59" s="128" t="n">
        <f aca="false">J59*(1+$K$7)</f>
        <v>81</v>
      </c>
      <c r="L59" s="128" t="n">
        <f aca="false">I59*K59</f>
        <v>32724</v>
      </c>
    </row>
    <row r="60" customFormat="false" ht="38.25" hidden="false" customHeight="false" outlineLevel="0" collapsed="false">
      <c r="D60" s="137" t="s">
        <v>117</v>
      </c>
      <c r="E60" s="125" t="s">
        <v>14</v>
      </c>
      <c r="F60" s="125" t="n">
        <v>92791</v>
      </c>
      <c r="G60" s="126" t="s">
        <v>154</v>
      </c>
      <c r="H60" s="125" t="s">
        <v>119</v>
      </c>
      <c r="I60" s="136" t="n">
        <v>237.98</v>
      </c>
      <c r="J60" s="135" t="n">
        <v>13.66</v>
      </c>
      <c r="K60" s="128" t="n">
        <f aca="false">J60*(1+$K$7)</f>
        <v>17.075</v>
      </c>
      <c r="L60" s="128" t="n">
        <f aca="false">I60*K60</f>
        <v>4063.5085</v>
      </c>
    </row>
    <row r="61" customFormat="false" ht="38.25" hidden="false" customHeight="false" outlineLevel="0" collapsed="false">
      <c r="D61" s="137" t="s">
        <v>121</v>
      </c>
      <c r="E61" s="125" t="s">
        <v>14</v>
      </c>
      <c r="F61" s="125" t="n">
        <v>92793</v>
      </c>
      <c r="G61" s="126" t="s">
        <v>122</v>
      </c>
      <c r="H61" s="125" t="s">
        <v>119</v>
      </c>
      <c r="I61" s="136" t="n">
        <v>590.85</v>
      </c>
      <c r="J61" s="135" t="n">
        <v>14.43</v>
      </c>
      <c r="K61" s="128" t="n">
        <f aca="false">J61*(1+$K$7)</f>
        <v>18.0375</v>
      </c>
      <c r="L61" s="128" t="n">
        <f aca="false">I61*K61</f>
        <v>10657.456875</v>
      </c>
    </row>
    <row r="62" customFormat="false" ht="38.25" hidden="false" customHeight="false" outlineLevel="0" collapsed="false">
      <c r="D62" s="137" t="s">
        <v>124</v>
      </c>
      <c r="E62" s="125" t="s">
        <v>14</v>
      </c>
      <c r="F62" s="125" t="n">
        <v>94963</v>
      </c>
      <c r="G62" s="126" t="s">
        <v>126</v>
      </c>
      <c r="H62" s="125" t="s">
        <v>25</v>
      </c>
      <c r="I62" s="136" t="n">
        <v>19.84</v>
      </c>
      <c r="J62" s="135" t="n">
        <v>336.6</v>
      </c>
      <c r="K62" s="128" t="n">
        <f aca="false">J62*(1+$K$7)</f>
        <v>420.75</v>
      </c>
      <c r="L62" s="128" t="n">
        <f aca="false">I62*K62</f>
        <v>8347.68</v>
      </c>
    </row>
    <row r="63" customFormat="false" ht="15" hidden="false" customHeight="false" outlineLevel="0" collapsed="false">
      <c r="D63" s="130" t="s">
        <v>569</v>
      </c>
      <c r="E63" s="130"/>
      <c r="F63" s="130"/>
      <c r="G63" s="130"/>
      <c r="H63" s="130"/>
      <c r="I63" s="130"/>
      <c r="J63" s="130"/>
      <c r="K63" s="130"/>
      <c r="L63" s="131" t="n">
        <f aca="false">SUM(L59:L62)</f>
        <v>55792.645375</v>
      </c>
    </row>
    <row r="64" customFormat="false" ht="15" hidden="false" customHeight="false" outlineLevel="0" collapsed="false">
      <c r="D64" s="123" t="n">
        <v>3</v>
      </c>
      <c r="E64" s="123"/>
      <c r="F64" s="123"/>
      <c r="G64" s="124" t="s">
        <v>127</v>
      </c>
      <c r="H64" s="123"/>
      <c r="I64" s="123"/>
      <c r="J64" s="123"/>
      <c r="K64" s="123"/>
      <c r="L64" s="123"/>
    </row>
    <row r="65" customFormat="false" ht="38.25" hidden="false" customHeight="false" outlineLevel="0" collapsed="false">
      <c r="D65" s="137" t="s">
        <v>33</v>
      </c>
      <c r="E65" s="125" t="s">
        <v>14</v>
      </c>
      <c r="F65" s="125" t="n">
        <v>96523</v>
      </c>
      <c r="G65" s="126" t="s">
        <v>128</v>
      </c>
      <c r="H65" s="125" t="s">
        <v>25</v>
      </c>
      <c r="I65" s="136" t="n">
        <v>16.71</v>
      </c>
      <c r="J65" s="135" t="n">
        <v>66.42</v>
      </c>
      <c r="K65" s="128" t="n">
        <f aca="false">J65*(1+$K$7)</f>
        <v>83.025</v>
      </c>
      <c r="L65" s="128" t="n">
        <f aca="false">I65*K65</f>
        <v>1387.34775</v>
      </c>
    </row>
    <row r="66" customFormat="false" ht="25.5" hidden="false" customHeight="false" outlineLevel="0" collapsed="false">
      <c r="D66" s="137" t="s">
        <v>38</v>
      </c>
      <c r="E66" s="125" t="s">
        <v>14</v>
      </c>
      <c r="F66" s="125" t="n">
        <v>96616</v>
      </c>
      <c r="G66" s="126" t="s">
        <v>130</v>
      </c>
      <c r="H66" s="125" t="s">
        <v>25</v>
      </c>
      <c r="I66" s="136" t="n">
        <v>1.29</v>
      </c>
      <c r="J66" s="135" t="n">
        <v>484.38</v>
      </c>
      <c r="K66" s="128" t="n">
        <f aca="false">J66*(1+$K$7)</f>
        <v>605.475</v>
      </c>
      <c r="L66" s="128" t="n">
        <f aca="false">I66*K66</f>
        <v>781.06275</v>
      </c>
    </row>
    <row r="67" customFormat="false" ht="25.5" hidden="false" customHeight="false" outlineLevel="0" collapsed="false">
      <c r="D67" s="137" t="s">
        <v>41</v>
      </c>
      <c r="E67" s="125" t="s">
        <v>101</v>
      </c>
      <c r="F67" s="125" t="n">
        <v>1355</v>
      </c>
      <c r="G67" s="126" t="s">
        <v>132</v>
      </c>
      <c r="H67" s="125" t="s">
        <v>17</v>
      </c>
      <c r="I67" s="136" t="n">
        <v>102</v>
      </c>
      <c r="J67" s="135" t="n">
        <v>43.97</v>
      </c>
      <c r="K67" s="128" t="n">
        <f aca="false">J67*(1+$K$7)</f>
        <v>54.9625</v>
      </c>
      <c r="L67" s="128" t="n">
        <f aca="false">I67*K67</f>
        <v>5606.175</v>
      </c>
    </row>
    <row r="68" customFormat="false" ht="38.25" hidden="false" customHeight="false" outlineLevel="0" collapsed="false">
      <c r="D68" s="137" t="s">
        <v>45</v>
      </c>
      <c r="E68" s="125" t="s">
        <v>14</v>
      </c>
      <c r="F68" s="146" t="n">
        <v>92792</v>
      </c>
      <c r="G68" s="147" t="s">
        <v>135</v>
      </c>
      <c r="H68" s="125" t="s">
        <v>119</v>
      </c>
      <c r="I68" s="136" t="n">
        <v>584</v>
      </c>
      <c r="J68" s="135" t="n">
        <v>14.27</v>
      </c>
      <c r="K68" s="128" t="n">
        <f aca="false">J68*(1+$K$7)</f>
        <v>17.8375</v>
      </c>
      <c r="L68" s="128" t="n">
        <f aca="false">I68*K68</f>
        <v>10417.1</v>
      </c>
    </row>
    <row r="69" customFormat="false" ht="38.25" hidden="false" customHeight="false" outlineLevel="0" collapsed="false">
      <c r="D69" s="137" t="s">
        <v>47</v>
      </c>
      <c r="E69" s="125" t="s">
        <v>14</v>
      </c>
      <c r="F69" s="125" t="n">
        <v>94964</v>
      </c>
      <c r="G69" s="126" t="s">
        <v>137</v>
      </c>
      <c r="H69" s="125" t="s">
        <v>25</v>
      </c>
      <c r="I69" s="136" t="n">
        <v>12.75</v>
      </c>
      <c r="J69" s="135" t="n">
        <v>369.79</v>
      </c>
      <c r="K69" s="128" t="n">
        <f aca="false">J69*(1+$K$7)</f>
        <v>462.2375</v>
      </c>
      <c r="L69" s="128" t="n">
        <f aca="false">I69*K69</f>
        <v>5893.528125</v>
      </c>
    </row>
    <row r="70" customFormat="false" ht="38.25" hidden="false" customHeight="false" outlineLevel="0" collapsed="false">
      <c r="D70" s="137" t="s">
        <v>50</v>
      </c>
      <c r="E70" s="125" t="s">
        <v>101</v>
      </c>
      <c r="F70" s="125" t="n">
        <v>2692</v>
      </c>
      <c r="G70" s="126" t="s">
        <v>139</v>
      </c>
      <c r="H70" s="125" t="s">
        <v>140</v>
      </c>
      <c r="I70" s="136" t="n">
        <v>66</v>
      </c>
      <c r="J70" s="135" t="n">
        <v>5.02</v>
      </c>
      <c r="K70" s="128" t="n">
        <f aca="false">J70*(1+$K$7)</f>
        <v>6.275</v>
      </c>
      <c r="L70" s="128" t="n">
        <f aca="false">I70*K70</f>
        <v>414.15</v>
      </c>
    </row>
    <row r="71" customFormat="false" ht="38.25" hidden="false" customHeight="false" outlineLevel="0" collapsed="false">
      <c r="D71" s="137" t="s">
        <v>141</v>
      </c>
      <c r="E71" s="125" t="s">
        <v>14</v>
      </c>
      <c r="F71" s="125" t="n">
        <v>94319</v>
      </c>
      <c r="G71" s="126" t="s">
        <v>56</v>
      </c>
      <c r="H71" s="125" t="s">
        <v>25</v>
      </c>
      <c r="I71" s="136" t="n">
        <v>2.68</v>
      </c>
      <c r="J71" s="135" t="n">
        <v>34.66</v>
      </c>
      <c r="K71" s="128" t="n">
        <f aca="false">J71*(1+$K$7)</f>
        <v>43.325</v>
      </c>
      <c r="L71" s="128" t="n">
        <f aca="false">I71*K71</f>
        <v>116.111</v>
      </c>
    </row>
    <row r="72" customFormat="false" ht="15" hidden="false" customHeight="false" outlineLevel="0" collapsed="false">
      <c r="D72" s="130" t="s">
        <v>569</v>
      </c>
      <c r="E72" s="130"/>
      <c r="F72" s="130"/>
      <c r="G72" s="130"/>
      <c r="H72" s="130"/>
      <c r="I72" s="130"/>
      <c r="J72" s="130"/>
      <c r="K72" s="130"/>
      <c r="L72" s="131" t="n">
        <f aca="false">SUM(L65:L71)</f>
        <v>24615.474625</v>
      </c>
    </row>
    <row r="73" customFormat="false" ht="15" hidden="false" customHeight="false" outlineLevel="0" collapsed="false">
      <c r="D73" s="123" t="n">
        <v>4</v>
      </c>
      <c r="E73" s="123"/>
      <c r="F73" s="123"/>
      <c r="G73" s="124" t="s">
        <v>143</v>
      </c>
      <c r="H73" s="123"/>
      <c r="I73" s="123"/>
      <c r="J73" s="123"/>
      <c r="K73" s="123"/>
      <c r="L73" s="123"/>
    </row>
    <row r="74" customFormat="false" ht="25.5" hidden="false" customHeight="false" outlineLevel="0" collapsed="false">
      <c r="D74" s="137" t="s">
        <v>54</v>
      </c>
      <c r="E74" s="125" t="s">
        <v>14</v>
      </c>
      <c r="F74" s="125" t="n">
        <v>93358</v>
      </c>
      <c r="G74" s="126" t="s">
        <v>145</v>
      </c>
      <c r="H74" s="125" t="s">
        <v>25</v>
      </c>
      <c r="I74" s="136" t="n">
        <v>14.44</v>
      </c>
      <c r="J74" s="135" t="n">
        <v>55.81</v>
      </c>
      <c r="K74" s="128" t="n">
        <f aca="false">J74*(1+$K$7)</f>
        <v>69.7625</v>
      </c>
      <c r="L74" s="128" t="n">
        <f aca="false">I74*K74</f>
        <v>1007.3705</v>
      </c>
    </row>
    <row r="75" customFormat="false" ht="38.25" hidden="false" customHeight="false" outlineLevel="0" collapsed="false">
      <c r="D75" s="137" t="s">
        <v>147</v>
      </c>
      <c r="E75" s="125" t="s">
        <v>14</v>
      </c>
      <c r="F75" s="125" t="n">
        <v>94968</v>
      </c>
      <c r="G75" s="126" t="s">
        <v>148</v>
      </c>
      <c r="H75" s="125" t="s">
        <v>25</v>
      </c>
      <c r="I75" s="136" t="n">
        <v>2.46</v>
      </c>
      <c r="J75" s="135" t="n">
        <v>299.54</v>
      </c>
      <c r="K75" s="128" t="n">
        <f aca="false">J75*(1+$K$7)</f>
        <v>374.425</v>
      </c>
      <c r="L75" s="128" t="n">
        <f aca="false">I75*K75</f>
        <v>921.0855</v>
      </c>
    </row>
    <row r="76" customFormat="false" ht="25.5" hidden="false" customHeight="false" outlineLevel="0" collapsed="false">
      <c r="D76" s="137" t="s">
        <v>150</v>
      </c>
      <c r="E76" s="125" t="s">
        <v>101</v>
      </c>
      <c r="F76" s="125" t="n">
        <v>1355</v>
      </c>
      <c r="G76" s="126" t="s">
        <v>132</v>
      </c>
      <c r="H76" s="125" t="s">
        <v>17</v>
      </c>
      <c r="I76" s="136" t="n">
        <v>232.04</v>
      </c>
      <c r="J76" s="135" t="n">
        <v>43.97</v>
      </c>
      <c r="K76" s="128" t="n">
        <f aca="false">J76*(1+$K$7)</f>
        <v>54.9625</v>
      </c>
      <c r="L76" s="128" t="n">
        <f aca="false">I76*K76</f>
        <v>12753.4985</v>
      </c>
    </row>
    <row r="77" customFormat="false" ht="38.25" hidden="false" customHeight="false" outlineLevel="0" collapsed="false">
      <c r="D77" s="137" t="s">
        <v>152</v>
      </c>
      <c r="E77" s="125" t="s">
        <v>14</v>
      </c>
      <c r="F77" s="125" t="s">
        <v>153</v>
      </c>
      <c r="G77" s="126" t="s">
        <v>154</v>
      </c>
      <c r="H77" s="125" t="s">
        <v>119</v>
      </c>
      <c r="I77" s="136" t="n">
        <v>293.2</v>
      </c>
      <c r="J77" s="135" t="n">
        <v>10.29</v>
      </c>
      <c r="K77" s="128" t="n">
        <f aca="false">J77*(1+$K$7)</f>
        <v>12.8625</v>
      </c>
      <c r="L77" s="128" t="n">
        <f aca="false">I77*K77</f>
        <v>3771.285</v>
      </c>
    </row>
    <row r="78" customFormat="false" ht="39" hidden="false" customHeight="false" outlineLevel="0" collapsed="false">
      <c r="D78" s="137" t="s">
        <v>155</v>
      </c>
      <c r="E78" s="125" t="s">
        <v>14</v>
      </c>
      <c r="F78" s="125" t="n">
        <v>92793</v>
      </c>
      <c r="G78" s="129" t="s">
        <v>122</v>
      </c>
      <c r="H78" s="125" t="s">
        <v>119</v>
      </c>
      <c r="I78" s="141" t="n">
        <v>364.07</v>
      </c>
      <c r="J78" s="135" t="n">
        <v>14.43</v>
      </c>
      <c r="K78" s="128" t="n">
        <f aca="false">J78*(1+$K$7)</f>
        <v>18.0375</v>
      </c>
      <c r="L78" s="128" t="n">
        <f aca="false">I78*K78</f>
        <v>6566.912625</v>
      </c>
    </row>
    <row r="79" customFormat="false" ht="38.25" hidden="false" customHeight="false" outlineLevel="0" collapsed="false">
      <c r="D79" s="137" t="s">
        <v>157</v>
      </c>
      <c r="E79" s="125" t="s">
        <v>14</v>
      </c>
      <c r="F79" s="125" t="n">
        <v>92794</v>
      </c>
      <c r="G79" s="126" t="s">
        <v>159</v>
      </c>
      <c r="H79" s="125" t="s">
        <v>119</v>
      </c>
      <c r="I79" s="136" t="n">
        <v>141.31</v>
      </c>
      <c r="J79" s="135" t="n">
        <v>13.42</v>
      </c>
      <c r="K79" s="128" t="n">
        <f aca="false">J79*(1+$K$7)</f>
        <v>16.775</v>
      </c>
      <c r="L79" s="128" t="n">
        <f aca="false">I79*K79</f>
        <v>2370.47525</v>
      </c>
    </row>
    <row r="80" customFormat="false" ht="39" hidden="false" customHeight="false" outlineLevel="0" collapsed="false">
      <c r="D80" s="137" t="s">
        <v>160</v>
      </c>
      <c r="E80" s="125" t="s">
        <v>14</v>
      </c>
      <c r="F80" s="125" t="n">
        <v>92795</v>
      </c>
      <c r="G80" s="129" t="s">
        <v>162</v>
      </c>
      <c r="H80" s="125" t="s">
        <v>119</v>
      </c>
      <c r="I80" s="141" t="n">
        <v>106.76</v>
      </c>
      <c r="J80" s="135" t="n">
        <v>11.53</v>
      </c>
      <c r="K80" s="128" t="n">
        <f aca="false">J80*(1+$K$7)</f>
        <v>14.4125</v>
      </c>
      <c r="L80" s="128" t="n">
        <f aca="false">I80*K80</f>
        <v>1538.6785</v>
      </c>
    </row>
    <row r="81" customFormat="false" ht="38.25" hidden="false" customHeight="false" outlineLevel="0" collapsed="false">
      <c r="D81" s="137" t="s">
        <v>163</v>
      </c>
      <c r="E81" s="125" t="s">
        <v>14</v>
      </c>
      <c r="F81" s="125" t="n">
        <v>94964</v>
      </c>
      <c r="G81" s="126" t="s">
        <v>137</v>
      </c>
      <c r="H81" s="125" t="s">
        <v>25</v>
      </c>
      <c r="I81" s="136" t="n">
        <v>11.98</v>
      </c>
      <c r="J81" s="135" t="n">
        <v>369.79</v>
      </c>
      <c r="K81" s="128" t="n">
        <f aca="false">J81*(1+$K$7)</f>
        <v>462.2375</v>
      </c>
      <c r="L81" s="128" t="n">
        <f aca="false">I81*K81</f>
        <v>5537.60525</v>
      </c>
    </row>
    <row r="82" customFormat="false" ht="38.25" hidden="false" customHeight="false" outlineLevel="0" collapsed="false">
      <c r="D82" s="137" t="s">
        <v>164</v>
      </c>
      <c r="E82" s="125" t="s">
        <v>101</v>
      </c>
      <c r="F82" s="125" t="n">
        <v>2692</v>
      </c>
      <c r="G82" s="126" t="s">
        <v>139</v>
      </c>
      <c r="H82" s="125" t="s">
        <v>140</v>
      </c>
      <c r="I82" s="136" t="n">
        <v>60</v>
      </c>
      <c r="J82" s="135" t="n">
        <v>5.02</v>
      </c>
      <c r="K82" s="128" t="n">
        <f aca="false">J82*(1+$K$7)</f>
        <v>6.275</v>
      </c>
      <c r="L82" s="128" t="n">
        <f aca="false">I82*K82</f>
        <v>376.5</v>
      </c>
    </row>
    <row r="83" customFormat="false" ht="38.25" hidden="false" customHeight="false" outlineLevel="0" collapsed="false">
      <c r="D83" s="137" t="s">
        <v>165</v>
      </c>
      <c r="E83" s="125" t="s">
        <v>14</v>
      </c>
      <c r="F83" s="125" t="n">
        <v>94319</v>
      </c>
      <c r="G83" s="126" t="s">
        <v>56</v>
      </c>
      <c r="H83" s="125" t="s">
        <v>25</v>
      </c>
      <c r="I83" s="136" t="n">
        <v>2.46</v>
      </c>
      <c r="J83" s="135" t="n">
        <v>34.66</v>
      </c>
      <c r="K83" s="128" t="n">
        <f aca="false">J83*(1+$K$7)</f>
        <v>43.325</v>
      </c>
      <c r="L83" s="128" t="n">
        <f aca="false">I83*K83</f>
        <v>106.5795</v>
      </c>
    </row>
    <row r="84" customFormat="false" ht="15" hidden="false" customHeight="false" outlineLevel="0" collapsed="false">
      <c r="D84" s="130" t="s">
        <v>569</v>
      </c>
      <c r="E84" s="130"/>
      <c r="F84" s="130"/>
      <c r="G84" s="130"/>
      <c r="H84" s="130"/>
      <c r="I84" s="130"/>
      <c r="J84" s="130"/>
      <c r="K84" s="130"/>
      <c r="L84" s="131" t="n">
        <f aca="false">SUM(L74:L83)</f>
        <v>34949.990625</v>
      </c>
    </row>
    <row r="85" customFormat="false" ht="15" hidden="false" customHeight="false" outlineLevel="0" collapsed="false">
      <c r="D85" s="123" t="n">
        <v>5</v>
      </c>
      <c r="E85" s="123"/>
      <c r="F85" s="123"/>
      <c r="G85" s="124" t="s">
        <v>166</v>
      </c>
      <c r="H85" s="123"/>
      <c r="I85" s="123"/>
      <c r="J85" s="123"/>
      <c r="K85" s="123"/>
      <c r="L85" s="123"/>
    </row>
    <row r="86" customFormat="false" ht="76.5" hidden="false" customHeight="false" outlineLevel="0" collapsed="false">
      <c r="D86" s="137" t="s">
        <v>59</v>
      </c>
      <c r="E86" s="125" t="s">
        <v>14</v>
      </c>
      <c r="F86" s="125" t="n">
        <v>87507</v>
      </c>
      <c r="G86" s="126" t="s">
        <v>30</v>
      </c>
      <c r="H86" s="125" t="s">
        <v>17</v>
      </c>
      <c r="I86" s="136" t="n">
        <v>696.42</v>
      </c>
      <c r="J86" s="135" t="n">
        <v>73.88</v>
      </c>
      <c r="K86" s="128" t="n">
        <f aca="false">J86*(1+$K$7)</f>
        <v>92.35</v>
      </c>
      <c r="L86" s="128" t="n">
        <f aca="false">I86*K86</f>
        <v>64314.387</v>
      </c>
    </row>
    <row r="87" customFormat="false" ht="15" hidden="false" customHeight="false" outlineLevel="0" collapsed="false">
      <c r="D87" s="130" t="s">
        <v>569</v>
      </c>
      <c r="E87" s="130"/>
      <c r="F87" s="130"/>
      <c r="G87" s="130"/>
      <c r="H87" s="130"/>
      <c r="I87" s="130"/>
      <c r="J87" s="130"/>
      <c r="K87" s="130"/>
      <c r="L87" s="131" t="n">
        <f aca="false">SUM(L86)</f>
        <v>64314.387</v>
      </c>
    </row>
    <row r="88" customFormat="false" ht="15" hidden="false" customHeight="false" outlineLevel="0" collapsed="false">
      <c r="D88" s="123" t="n">
        <v>6</v>
      </c>
      <c r="E88" s="123"/>
      <c r="F88" s="123"/>
      <c r="G88" s="124" t="s">
        <v>168</v>
      </c>
      <c r="H88" s="123"/>
      <c r="I88" s="123"/>
      <c r="J88" s="123"/>
      <c r="K88" s="123"/>
      <c r="L88" s="123"/>
    </row>
    <row r="89" customFormat="false" ht="25.5" hidden="false" customHeight="false" outlineLevel="0" collapsed="false">
      <c r="D89" s="137" t="s">
        <v>76</v>
      </c>
      <c r="E89" s="125" t="s">
        <v>101</v>
      </c>
      <c r="F89" s="125" t="n">
        <v>1355</v>
      </c>
      <c r="G89" s="126" t="s">
        <v>132</v>
      </c>
      <c r="H89" s="125" t="s">
        <v>17</v>
      </c>
      <c r="I89" s="136" t="n">
        <v>195</v>
      </c>
      <c r="J89" s="135" t="n">
        <v>43.97</v>
      </c>
      <c r="K89" s="128" t="n">
        <f aca="false">J89*(1+$K$7)</f>
        <v>54.9625</v>
      </c>
      <c r="L89" s="128" t="n">
        <f aca="false">I89*K89</f>
        <v>10717.6875</v>
      </c>
    </row>
    <row r="90" customFormat="false" ht="38.25" hidden="false" customHeight="false" outlineLevel="0" collapsed="false">
      <c r="D90" s="137" t="s">
        <v>80</v>
      </c>
      <c r="E90" s="125" t="s">
        <v>14</v>
      </c>
      <c r="F90" s="125" t="n">
        <v>92791</v>
      </c>
      <c r="G90" s="126" t="s">
        <v>154</v>
      </c>
      <c r="H90" s="125" t="s">
        <v>119</v>
      </c>
      <c r="I90" s="136" t="n">
        <v>319</v>
      </c>
      <c r="J90" s="135" t="n">
        <v>13.66</v>
      </c>
      <c r="K90" s="128" t="n">
        <f aca="false">J90*(1+$K$7)</f>
        <v>17.075</v>
      </c>
      <c r="L90" s="128" t="n">
        <f aca="false">I90*K90</f>
        <v>5446.925</v>
      </c>
    </row>
    <row r="91" customFormat="false" ht="38.25" hidden="false" customHeight="false" outlineLevel="0" collapsed="false">
      <c r="D91" s="137" t="s">
        <v>170</v>
      </c>
      <c r="E91" s="125" t="s">
        <v>14</v>
      </c>
      <c r="F91" s="125" t="n">
        <v>92794</v>
      </c>
      <c r="G91" s="126" t="s">
        <v>159</v>
      </c>
      <c r="H91" s="125" t="s">
        <v>119</v>
      </c>
      <c r="I91" s="136" t="n">
        <v>830</v>
      </c>
      <c r="J91" s="135" t="n">
        <v>13.42</v>
      </c>
      <c r="K91" s="128" t="n">
        <f aca="false">J91*(1+$K$7)</f>
        <v>16.775</v>
      </c>
      <c r="L91" s="128" t="n">
        <f aca="false">I91*K91</f>
        <v>13923.25</v>
      </c>
    </row>
    <row r="92" customFormat="false" ht="38.25" hidden="false" customHeight="false" outlineLevel="0" collapsed="false">
      <c r="D92" s="137" t="s">
        <v>171</v>
      </c>
      <c r="E92" s="125" t="s">
        <v>14</v>
      </c>
      <c r="F92" s="125" t="n">
        <v>94964</v>
      </c>
      <c r="G92" s="126" t="s">
        <v>137</v>
      </c>
      <c r="H92" s="125" t="s">
        <v>25</v>
      </c>
      <c r="I92" s="136" t="n">
        <v>8.56</v>
      </c>
      <c r="J92" s="135" t="n">
        <v>369.79</v>
      </c>
      <c r="K92" s="128" t="n">
        <f aca="false">J92*(1+$K$7)</f>
        <v>462.2375</v>
      </c>
      <c r="L92" s="128" t="n">
        <f aca="false">I92*K92</f>
        <v>3956.753</v>
      </c>
    </row>
    <row r="93" customFormat="false" ht="38.25" hidden="false" customHeight="false" outlineLevel="0" collapsed="false">
      <c r="D93" s="137" t="s">
        <v>173</v>
      </c>
      <c r="E93" s="125" t="s">
        <v>101</v>
      </c>
      <c r="F93" s="125" t="n">
        <v>2692</v>
      </c>
      <c r="G93" s="126" t="s">
        <v>139</v>
      </c>
      <c r="H93" s="125" t="s">
        <v>140</v>
      </c>
      <c r="I93" s="136" t="n">
        <v>60</v>
      </c>
      <c r="J93" s="135" t="n">
        <v>5.02</v>
      </c>
      <c r="K93" s="128" t="n">
        <f aca="false">J93*(1+$K$7)</f>
        <v>6.275</v>
      </c>
      <c r="L93" s="128" t="n">
        <f aca="false">I93*K93</f>
        <v>376.5</v>
      </c>
    </row>
    <row r="94" customFormat="false" ht="15" hidden="false" customHeight="false" outlineLevel="0" collapsed="false">
      <c r="D94" s="130" t="s">
        <v>569</v>
      </c>
      <c r="E94" s="130"/>
      <c r="F94" s="130"/>
      <c r="G94" s="130"/>
      <c r="H94" s="130"/>
      <c r="I94" s="130"/>
      <c r="J94" s="130"/>
      <c r="K94" s="130"/>
      <c r="L94" s="131" t="n">
        <f aca="false">SUM(L89:L93)</f>
        <v>34421.1155</v>
      </c>
    </row>
    <row r="95" customFormat="false" ht="15" hidden="false" customHeight="false" outlineLevel="0" collapsed="false">
      <c r="D95" s="123" t="n">
        <v>7</v>
      </c>
      <c r="E95" s="123"/>
      <c r="F95" s="123"/>
      <c r="G95" s="124" t="s">
        <v>174</v>
      </c>
      <c r="H95" s="123"/>
      <c r="I95" s="123"/>
      <c r="J95" s="123"/>
      <c r="K95" s="123"/>
      <c r="L95" s="123"/>
    </row>
    <row r="96" customFormat="false" ht="25.5" hidden="false" customHeight="false" outlineLevel="0" collapsed="false">
      <c r="D96" s="137" t="s">
        <v>85</v>
      </c>
      <c r="E96" s="125" t="s">
        <v>101</v>
      </c>
      <c r="F96" s="125" t="n">
        <v>1355</v>
      </c>
      <c r="G96" s="126" t="s">
        <v>132</v>
      </c>
      <c r="H96" s="125" t="s">
        <v>17</v>
      </c>
      <c r="I96" s="136" t="n">
        <v>281.7</v>
      </c>
      <c r="J96" s="135" t="n">
        <v>43.97</v>
      </c>
      <c r="K96" s="128" t="n">
        <f aca="false">J96*(1+$K$7)</f>
        <v>54.9625</v>
      </c>
      <c r="L96" s="128" t="n">
        <f aca="false">I96*K96</f>
        <v>15482.93625</v>
      </c>
    </row>
    <row r="97" customFormat="false" ht="38.25" hidden="false" customHeight="false" outlineLevel="0" collapsed="false">
      <c r="D97" s="137" t="s">
        <v>89</v>
      </c>
      <c r="E97" s="125" t="s">
        <v>14</v>
      </c>
      <c r="F97" s="125" t="n">
        <v>92791</v>
      </c>
      <c r="G97" s="126" t="s">
        <v>154</v>
      </c>
      <c r="H97" s="125" t="s">
        <v>119</v>
      </c>
      <c r="I97" s="148" t="n">
        <v>318.27</v>
      </c>
      <c r="J97" s="135" t="n">
        <v>13.66</v>
      </c>
      <c r="K97" s="128" t="n">
        <f aca="false">J97*(1+$K$7)</f>
        <v>17.075</v>
      </c>
      <c r="L97" s="128" t="n">
        <f aca="false">I97*K97</f>
        <v>5434.46025</v>
      </c>
    </row>
    <row r="98" customFormat="false" ht="39" hidden="false" customHeight="false" outlineLevel="0" collapsed="false">
      <c r="D98" s="137" t="s">
        <v>92</v>
      </c>
      <c r="E98" s="125" t="s">
        <v>14</v>
      </c>
      <c r="F98" s="125" t="n">
        <v>92793</v>
      </c>
      <c r="G98" s="129" t="s">
        <v>122</v>
      </c>
      <c r="H98" s="125" t="s">
        <v>119</v>
      </c>
      <c r="I98" s="148" t="n">
        <v>274.98</v>
      </c>
      <c r="J98" s="135" t="n">
        <v>14.43</v>
      </c>
      <c r="K98" s="128" t="n">
        <f aca="false">J98*(1+$K$7)</f>
        <v>18.0375</v>
      </c>
      <c r="L98" s="128" t="n">
        <f aca="false">I98*K98</f>
        <v>4959.95175</v>
      </c>
    </row>
    <row r="99" customFormat="false" ht="38.25" hidden="false" customHeight="false" outlineLevel="0" collapsed="false">
      <c r="D99" s="137" t="s">
        <v>176</v>
      </c>
      <c r="E99" s="125" t="s">
        <v>14</v>
      </c>
      <c r="F99" s="125" t="n">
        <v>92794</v>
      </c>
      <c r="G99" s="126" t="s">
        <v>159</v>
      </c>
      <c r="H99" s="125" t="s">
        <v>119</v>
      </c>
      <c r="I99" s="148" t="n">
        <v>259.18</v>
      </c>
      <c r="J99" s="135" t="n">
        <v>13.42</v>
      </c>
      <c r="K99" s="128" t="n">
        <f aca="false">J99*(1+$K$7)</f>
        <v>16.775</v>
      </c>
      <c r="L99" s="128" t="n">
        <f aca="false">I99*K99</f>
        <v>4347.7445</v>
      </c>
    </row>
    <row r="100" customFormat="false" ht="39" hidden="false" customHeight="false" outlineLevel="0" collapsed="false">
      <c r="D100" s="137" t="s">
        <v>177</v>
      </c>
      <c r="E100" s="125" t="s">
        <v>14</v>
      </c>
      <c r="F100" s="125" t="n">
        <v>92795</v>
      </c>
      <c r="G100" s="129" t="s">
        <v>162</v>
      </c>
      <c r="H100" s="125" t="s">
        <v>119</v>
      </c>
      <c r="I100" s="148" t="n">
        <v>296.02</v>
      </c>
      <c r="J100" s="135" t="n">
        <v>11.53</v>
      </c>
      <c r="K100" s="128" t="n">
        <f aca="false">J100*(1+$K$7)</f>
        <v>14.4125</v>
      </c>
      <c r="L100" s="128" t="n">
        <f aca="false">I100*K100</f>
        <v>4266.38825</v>
      </c>
    </row>
    <row r="101" customFormat="false" ht="38.25" hidden="false" customHeight="false" outlineLevel="0" collapsed="false">
      <c r="D101" s="137" t="s">
        <v>178</v>
      </c>
      <c r="E101" s="125" t="s">
        <v>14</v>
      </c>
      <c r="F101" s="125" t="n">
        <v>94964</v>
      </c>
      <c r="G101" s="126" t="s">
        <v>137</v>
      </c>
      <c r="H101" s="125" t="s">
        <v>25</v>
      </c>
      <c r="I101" s="136" t="n">
        <v>12.65</v>
      </c>
      <c r="J101" s="135" t="n">
        <v>369.79</v>
      </c>
      <c r="K101" s="128" t="n">
        <f aca="false">J101*(1+$K$7)</f>
        <v>462.2375</v>
      </c>
      <c r="L101" s="128" t="n">
        <f aca="false">I101*K101</f>
        <v>5847.304375</v>
      </c>
    </row>
    <row r="102" customFormat="false" ht="38.25" hidden="false" customHeight="false" outlineLevel="0" collapsed="false">
      <c r="D102" s="137" t="s">
        <v>180</v>
      </c>
      <c r="E102" s="125" t="s">
        <v>101</v>
      </c>
      <c r="F102" s="125" t="n">
        <v>2692</v>
      </c>
      <c r="G102" s="126" t="s">
        <v>139</v>
      </c>
      <c r="H102" s="125" t="s">
        <v>140</v>
      </c>
      <c r="I102" s="136" t="n">
        <v>60</v>
      </c>
      <c r="J102" s="135" t="n">
        <v>5.02</v>
      </c>
      <c r="K102" s="128" t="n">
        <f aca="false">J102*(1+$K$7)</f>
        <v>6.275</v>
      </c>
      <c r="L102" s="128" t="n">
        <f aca="false">I102*K102</f>
        <v>376.5</v>
      </c>
    </row>
    <row r="103" customFormat="false" ht="15" hidden="false" customHeight="false" outlineLevel="0" collapsed="false">
      <c r="D103" s="130" t="s">
        <v>569</v>
      </c>
      <c r="E103" s="130"/>
      <c r="F103" s="130"/>
      <c r="G103" s="130"/>
      <c r="H103" s="130"/>
      <c r="I103" s="130"/>
      <c r="J103" s="130"/>
      <c r="K103" s="130"/>
      <c r="L103" s="131" t="n">
        <f aca="false">SUM(L96:L102)</f>
        <v>40715.285375</v>
      </c>
    </row>
    <row r="104" customFormat="false" ht="15" hidden="false" customHeight="false" outlineLevel="0" collapsed="false">
      <c r="D104" s="123" t="n">
        <v>8</v>
      </c>
      <c r="E104" s="123"/>
      <c r="F104" s="123"/>
      <c r="G104" s="124" t="s">
        <v>181</v>
      </c>
      <c r="H104" s="123"/>
      <c r="I104" s="123"/>
      <c r="J104" s="123"/>
      <c r="K104" s="123"/>
      <c r="L104" s="123"/>
    </row>
    <row r="105" customFormat="false" ht="51" hidden="false" customHeight="false" outlineLevel="0" collapsed="false">
      <c r="D105" s="137" t="s">
        <v>96</v>
      </c>
      <c r="E105" s="125" t="s">
        <v>14</v>
      </c>
      <c r="F105" s="125" t="n">
        <v>101964</v>
      </c>
      <c r="G105" s="126" t="s">
        <v>182</v>
      </c>
      <c r="H105" s="125" t="s">
        <v>17</v>
      </c>
      <c r="I105" s="136" t="n">
        <v>532.15</v>
      </c>
      <c r="J105" s="135" t="n">
        <v>196.13</v>
      </c>
      <c r="K105" s="128" t="n">
        <f aca="false">J105*(1+$K$7)</f>
        <v>245.1625</v>
      </c>
      <c r="L105" s="128" t="n">
        <f aca="false">I105*K105</f>
        <v>130463.224375</v>
      </c>
    </row>
    <row r="106" customFormat="false" ht="15" hidden="false" customHeight="false" outlineLevel="0" collapsed="false">
      <c r="D106" s="130" t="s">
        <v>569</v>
      </c>
      <c r="E106" s="130"/>
      <c r="F106" s="130"/>
      <c r="G106" s="130"/>
      <c r="H106" s="130"/>
      <c r="I106" s="130"/>
      <c r="J106" s="130"/>
      <c r="K106" s="130"/>
      <c r="L106" s="131" t="n">
        <f aca="false">SUM(L105)</f>
        <v>130463.224375</v>
      </c>
    </row>
    <row r="107" customFormat="false" ht="15" hidden="false" customHeight="false" outlineLevel="0" collapsed="false">
      <c r="D107" s="123" t="n">
        <v>9</v>
      </c>
      <c r="E107" s="123"/>
      <c r="F107" s="123"/>
      <c r="G107" s="124" t="s">
        <v>184</v>
      </c>
      <c r="H107" s="123"/>
      <c r="I107" s="123"/>
      <c r="J107" s="123"/>
      <c r="K107" s="123"/>
      <c r="L107" s="123"/>
    </row>
    <row r="108" customFormat="false" ht="51" hidden="false" customHeight="false" outlineLevel="0" collapsed="false">
      <c r="D108" s="137" t="s">
        <v>105</v>
      </c>
      <c r="E108" s="125" t="s">
        <v>14</v>
      </c>
      <c r="F108" s="125" t="n">
        <v>92542</v>
      </c>
      <c r="G108" s="126" t="s">
        <v>186</v>
      </c>
      <c r="H108" s="125" t="s">
        <v>17</v>
      </c>
      <c r="I108" s="136" t="n">
        <v>655.35</v>
      </c>
      <c r="J108" s="135" t="n">
        <v>146.07</v>
      </c>
      <c r="K108" s="128" t="n">
        <f aca="false">J108*(1+$K$7)</f>
        <v>182.5875</v>
      </c>
      <c r="L108" s="128" t="n">
        <f aca="false">I108*K108</f>
        <v>119658.718125</v>
      </c>
    </row>
    <row r="109" customFormat="false" ht="38.25" hidden="false" customHeight="false" outlineLevel="0" collapsed="false">
      <c r="D109" s="137" t="s">
        <v>188</v>
      </c>
      <c r="E109" s="125" t="s">
        <v>14</v>
      </c>
      <c r="F109" s="125" t="n">
        <v>94445</v>
      </c>
      <c r="G109" s="126" t="s">
        <v>190</v>
      </c>
      <c r="H109" s="125" t="s">
        <v>17</v>
      </c>
      <c r="I109" s="136" t="n">
        <v>655.35</v>
      </c>
      <c r="J109" s="135" t="n">
        <v>48.45</v>
      </c>
      <c r="K109" s="128" t="n">
        <f aca="false">J109*(1+$K$7)</f>
        <v>60.5625</v>
      </c>
      <c r="L109" s="128" t="n">
        <f aca="false">I109*K109</f>
        <v>39689.634375</v>
      </c>
    </row>
    <row r="110" customFormat="false" ht="15" hidden="false" customHeight="false" outlineLevel="0" collapsed="false">
      <c r="D110" s="130" t="s">
        <v>569</v>
      </c>
      <c r="E110" s="130"/>
      <c r="F110" s="130"/>
      <c r="G110" s="130"/>
      <c r="H110" s="130"/>
      <c r="I110" s="130"/>
      <c r="J110" s="130"/>
      <c r="K110" s="130"/>
      <c r="L110" s="131" t="n">
        <f aca="false">SUM(L108:L109)</f>
        <v>159348.3525</v>
      </c>
    </row>
    <row r="111" customFormat="false" ht="15" hidden="false" customHeight="false" outlineLevel="0" collapsed="false">
      <c r="D111" s="149" t="n">
        <v>10</v>
      </c>
      <c r="E111" s="123"/>
      <c r="F111" s="123"/>
      <c r="G111" s="124" t="s">
        <v>192</v>
      </c>
      <c r="H111" s="123"/>
      <c r="I111" s="123"/>
      <c r="J111" s="123"/>
      <c r="K111" s="123"/>
      <c r="L111" s="123"/>
    </row>
    <row r="112" customFormat="false" ht="63.75" hidden="false" customHeight="false" outlineLevel="0" collapsed="false">
      <c r="D112" s="137" t="s">
        <v>193</v>
      </c>
      <c r="E112" s="125" t="s">
        <v>14</v>
      </c>
      <c r="F112" s="125" t="n">
        <v>87894</v>
      </c>
      <c r="G112" s="126" t="s">
        <v>61</v>
      </c>
      <c r="H112" s="125" t="s">
        <v>17</v>
      </c>
      <c r="I112" s="136" t="n">
        <v>2081.13</v>
      </c>
      <c r="J112" s="135" t="n">
        <v>4.94</v>
      </c>
      <c r="K112" s="128" t="n">
        <f aca="false">J112*(1+$K$7)</f>
        <v>6.175</v>
      </c>
      <c r="L112" s="128" t="n">
        <f aca="false">I112*K112</f>
        <v>12850.97775</v>
      </c>
    </row>
    <row r="113" customFormat="false" ht="76.5" hidden="false" customHeight="false" outlineLevel="0" collapsed="false">
      <c r="D113" s="137" t="s">
        <v>195</v>
      </c>
      <c r="E113" s="125" t="s">
        <v>14</v>
      </c>
      <c r="F113" s="125" t="n">
        <v>87549</v>
      </c>
      <c r="G113" s="126" t="s">
        <v>65</v>
      </c>
      <c r="H113" s="125" t="s">
        <v>17</v>
      </c>
      <c r="I113" s="136" t="n">
        <v>468.65</v>
      </c>
      <c r="J113" s="135" t="n">
        <v>16.36</v>
      </c>
      <c r="K113" s="128" t="n">
        <f aca="false">J113*(1+$K$7)</f>
        <v>20.45</v>
      </c>
      <c r="L113" s="128" t="n">
        <f aca="false">I113*K113</f>
        <v>9583.8925</v>
      </c>
    </row>
    <row r="114" customFormat="false" ht="63.75" hidden="false" customHeight="false" outlineLevel="0" collapsed="false">
      <c r="D114" s="137" t="s">
        <v>197</v>
      </c>
      <c r="E114" s="125" t="s">
        <v>14</v>
      </c>
      <c r="F114" s="125" t="n">
        <v>87264</v>
      </c>
      <c r="G114" s="126" t="s">
        <v>69</v>
      </c>
      <c r="H114" s="125" t="s">
        <v>17</v>
      </c>
      <c r="I114" s="136" t="n">
        <v>468.65</v>
      </c>
      <c r="J114" s="135" t="n">
        <v>54.15</v>
      </c>
      <c r="K114" s="128" t="n">
        <f aca="false">J114*(1+$K$7)</f>
        <v>67.6875</v>
      </c>
      <c r="L114" s="128" t="n">
        <f aca="false">I114*K114</f>
        <v>31721.746875</v>
      </c>
    </row>
    <row r="115" customFormat="false" ht="63.75" hidden="false" customHeight="false" outlineLevel="0" collapsed="false">
      <c r="D115" s="137" t="s">
        <v>198</v>
      </c>
      <c r="E115" s="125" t="s">
        <v>14</v>
      </c>
      <c r="F115" s="125" t="n">
        <v>87529</v>
      </c>
      <c r="G115" s="126" t="s">
        <v>73</v>
      </c>
      <c r="H115" s="125" t="s">
        <v>17</v>
      </c>
      <c r="I115" s="136" t="n">
        <v>1612.48</v>
      </c>
      <c r="J115" s="135" t="n">
        <v>26.97</v>
      </c>
      <c r="K115" s="128" t="n">
        <f aca="false">J115*(1+$K$7)</f>
        <v>33.7125</v>
      </c>
      <c r="L115" s="128" t="n">
        <f aca="false">I115*K115</f>
        <v>54360.732</v>
      </c>
    </row>
    <row r="116" customFormat="false" ht="15" hidden="false" customHeight="false" outlineLevel="0" collapsed="false">
      <c r="D116" s="130" t="s">
        <v>569</v>
      </c>
      <c r="E116" s="130"/>
      <c r="F116" s="130"/>
      <c r="G116" s="130"/>
      <c r="H116" s="130"/>
      <c r="I116" s="130"/>
      <c r="J116" s="130"/>
      <c r="K116" s="130"/>
      <c r="L116" s="131" t="n">
        <f aca="false">SUM(L112:L115)</f>
        <v>108517.349125</v>
      </c>
    </row>
    <row r="117" customFormat="false" ht="15" hidden="false" customHeight="false" outlineLevel="0" collapsed="false">
      <c r="D117" s="123" t="n">
        <v>11</v>
      </c>
      <c r="E117" s="123"/>
      <c r="F117" s="123"/>
      <c r="G117" s="124" t="s">
        <v>75</v>
      </c>
      <c r="H117" s="123"/>
      <c r="I117" s="123"/>
      <c r="J117" s="123"/>
      <c r="K117" s="123"/>
      <c r="L117" s="123"/>
    </row>
    <row r="118" customFormat="false" ht="51" hidden="false" customHeight="false" outlineLevel="0" collapsed="false">
      <c r="D118" s="137" t="s">
        <v>200</v>
      </c>
      <c r="E118" s="125" t="s">
        <v>14</v>
      </c>
      <c r="F118" s="125" t="n">
        <v>87700</v>
      </c>
      <c r="G118" s="126" t="s">
        <v>78</v>
      </c>
      <c r="H118" s="125" t="s">
        <v>17</v>
      </c>
      <c r="I118" s="136" t="n">
        <v>712.35</v>
      </c>
      <c r="J118" s="135" t="n">
        <v>38.7</v>
      </c>
      <c r="K118" s="128" t="n">
        <f aca="false">J118*(1+$K$7)</f>
        <v>48.375</v>
      </c>
      <c r="L118" s="128" t="n">
        <f aca="false">I118*K118</f>
        <v>34459.93125</v>
      </c>
    </row>
    <row r="119" customFormat="false" ht="51" hidden="false" customHeight="false" outlineLevel="0" collapsed="false">
      <c r="D119" s="137" t="s">
        <v>201</v>
      </c>
      <c r="E119" s="125" t="s">
        <v>34</v>
      </c>
      <c r="F119" s="125" t="s">
        <v>81</v>
      </c>
      <c r="G119" s="126" t="s">
        <v>82</v>
      </c>
      <c r="H119" s="125" t="s">
        <v>17</v>
      </c>
      <c r="I119" s="136" t="n">
        <v>532.15</v>
      </c>
      <c r="J119" s="135" t="n">
        <v>79.82</v>
      </c>
      <c r="K119" s="128" t="n">
        <f aca="false">J119*(1+$K$7)</f>
        <v>99.775</v>
      </c>
      <c r="L119" s="128" t="n">
        <f aca="false">I119*K119</f>
        <v>53095.26625</v>
      </c>
    </row>
    <row r="120" customFormat="false" ht="25.5" hidden="false" customHeight="false" outlineLevel="0" collapsed="false">
      <c r="D120" s="137" t="s">
        <v>202</v>
      </c>
      <c r="E120" s="125" t="s">
        <v>101</v>
      </c>
      <c r="F120" s="125" t="n">
        <v>38181</v>
      </c>
      <c r="G120" s="126" t="s">
        <v>203</v>
      </c>
      <c r="H120" s="125" t="s">
        <v>17</v>
      </c>
      <c r="I120" s="136" t="n">
        <v>120</v>
      </c>
      <c r="J120" s="135" t="n">
        <v>179.45</v>
      </c>
      <c r="K120" s="128" t="n">
        <f aca="false">J120*(1+$K$7)</f>
        <v>224.3125</v>
      </c>
      <c r="L120" s="128" t="n">
        <f aca="false">I120*K120</f>
        <v>26917.5</v>
      </c>
    </row>
    <row r="121" customFormat="false" ht="15" hidden="false" customHeight="false" outlineLevel="0" collapsed="false">
      <c r="D121" s="130" t="s">
        <v>569</v>
      </c>
      <c r="E121" s="130"/>
      <c r="F121" s="130"/>
      <c r="G121" s="130"/>
      <c r="H121" s="130"/>
      <c r="I121" s="130"/>
      <c r="J121" s="130"/>
      <c r="K121" s="130"/>
      <c r="L121" s="131" t="n">
        <f aca="false">SUM(L118:L120)</f>
        <v>114472.6975</v>
      </c>
    </row>
    <row r="122" customFormat="false" ht="15" hidden="false" customHeight="false" outlineLevel="0" collapsed="false">
      <c r="D122" s="123" t="n">
        <v>12</v>
      </c>
      <c r="E122" s="123"/>
      <c r="F122" s="123"/>
      <c r="G122" s="124" t="s">
        <v>204</v>
      </c>
      <c r="H122" s="123"/>
      <c r="I122" s="123"/>
      <c r="J122" s="123"/>
      <c r="K122" s="123"/>
      <c r="L122" s="123"/>
    </row>
    <row r="123" customFormat="false" ht="63.75" hidden="false" customHeight="false" outlineLevel="0" collapsed="false">
      <c r="D123" s="137" t="s">
        <v>205</v>
      </c>
      <c r="E123" s="125" t="s">
        <v>34</v>
      </c>
      <c r="F123" s="125" t="s">
        <v>35</v>
      </c>
      <c r="G123" s="126" t="s">
        <v>36</v>
      </c>
      <c r="H123" s="125" t="s">
        <v>17</v>
      </c>
      <c r="I123" s="127" t="n">
        <v>11.77</v>
      </c>
      <c r="J123" s="128" t="n">
        <v>396.27</v>
      </c>
      <c r="K123" s="128" t="n">
        <f aca="false">J123*(1+$K$7)</f>
        <v>495.3375</v>
      </c>
      <c r="L123" s="128" t="n">
        <f aca="false">I123*K123</f>
        <v>5830.122375</v>
      </c>
    </row>
    <row r="124" customFormat="false" ht="63.75" hidden="false" customHeight="false" outlineLevel="0" collapsed="false">
      <c r="D124" s="137" t="s">
        <v>207</v>
      </c>
      <c r="E124" s="125" t="s">
        <v>14</v>
      </c>
      <c r="F124" s="125" t="n">
        <v>94573</v>
      </c>
      <c r="G124" s="126" t="s">
        <v>39</v>
      </c>
      <c r="H124" s="125" t="s">
        <v>17</v>
      </c>
      <c r="I124" s="127" t="n">
        <v>49.2</v>
      </c>
      <c r="J124" s="128" t="n">
        <v>297.31</v>
      </c>
      <c r="K124" s="128" t="n">
        <f aca="false">J124*(1+$K$7)</f>
        <v>371.6375</v>
      </c>
      <c r="L124" s="128" t="n">
        <f aca="false">I124*K124</f>
        <v>18284.565</v>
      </c>
    </row>
    <row r="125" customFormat="false" ht="63.75" hidden="false" customHeight="false" outlineLevel="0" collapsed="false">
      <c r="D125" s="137" t="s">
        <v>209</v>
      </c>
      <c r="E125" s="125" t="s">
        <v>34</v>
      </c>
      <c r="F125" s="125" t="s">
        <v>42</v>
      </c>
      <c r="G125" s="126" t="s">
        <v>43</v>
      </c>
      <c r="H125" s="125" t="s">
        <v>17</v>
      </c>
      <c r="I125" s="127" t="n">
        <v>11.76</v>
      </c>
      <c r="J125" s="128" t="n">
        <v>303.69</v>
      </c>
      <c r="K125" s="128" t="n">
        <f aca="false">J125*(1+$K$7)</f>
        <v>379.6125</v>
      </c>
      <c r="L125" s="128" t="n">
        <f aca="false">I125*K125</f>
        <v>4464.243</v>
      </c>
    </row>
    <row r="126" customFormat="false" ht="63.75" hidden="false" customHeight="false" outlineLevel="0" collapsed="false">
      <c r="D126" s="137" t="s">
        <v>211</v>
      </c>
      <c r="E126" s="125" t="s">
        <v>34</v>
      </c>
      <c r="F126" s="125" t="s">
        <v>212</v>
      </c>
      <c r="G126" s="126" t="s">
        <v>213</v>
      </c>
      <c r="H126" s="125" t="s">
        <v>17</v>
      </c>
      <c r="I126" s="127" t="n">
        <v>3.36</v>
      </c>
      <c r="J126" s="128" t="n">
        <v>437.19</v>
      </c>
      <c r="K126" s="128" t="n">
        <f aca="false">J126*(1+$K$7)</f>
        <v>546.4875</v>
      </c>
      <c r="L126" s="128" t="n">
        <f aca="false">I126*K126</f>
        <v>1836.198</v>
      </c>
    </row>
    <row r="127" customFormat="false" ht="51" hidden="false" customHeight="false" outlineLevel="0" collapsed="false">
      <c r="D127" s="137" t="s">
        <v>215</v>
      </c>
      <c r="E127" s="125" t="s">
        <v>14</v>
      </c>
      <c r="F127" s="125" t="n">
        <v>94805</v>
      </c>
      <c r="G127" s="126" t="s">
        <v>51</v>
      </c>
      <c r="H127" s="125" t="s">
        <v>17</v>
      </c>
      <c r="I127" s="127" t="n">
        <v>23.52</v>
      </c>
      <c r="J127" s="128" t="n">
        <v>893.84</v>
      </c>
      <c r="K127" s="128" t="n">
        <f aca="false">J127*(1+$K$7)</f>
        <v>1117.3</v>
      </c>
      <c r="L127" s="128" t="n">
        <f aca="false">I127*K127</f>
        <v>26278.896</v>
      </c>
    </row>
    <row r="128" customFormat="false" ht="38.25" hidden="false" customHeight="false" outlineLevel="0" collapsed="false">
      <c r="D128" s="137" t="s">
        <v>217</v>
      </c>
      <c r="E128" s="125" t="s">
        <v>14</v>
      </c>
      <c r="F128" s="125" t="n">
        <v>91338</v>
      </c>
      <c r="G128" s="126" t="s">
        <v>46</v>
      </c>
      <c r="H128" s="125" t="s">
        <v>17</v>
      </c>
      <c r="I128" s="127" t="n">
        <v>31.92</v>
      </c>
      <c r="J128" s="128" t="n">
        <v>759.06</v>
      </c>
      <c r="K128" s="128" t="n">
        <f aca="false">J128*(1+$K$7)</f>
        <v>948.825</v>
      </c>
      <c r="L128" s="128" t="n">
        <f aca="false">I128*K128</f>
        <v>30286.494</v>
      </c>
    </row>
    <row r="129" customFormat="false" ht="25.5" hidden="false" customHeight="false" outlineLevel="0" collapsed="false">
      <c r="D129" s="137" t="s">
        <v>219</v>
      </c>
      <c r="E129" s="125" t="s">
        <v>34</v>
      </c>
      <c r="F129" s="125" t="s">
        <v>220</v>
      </c>
      <c r="G129" s="126" t="s">
        <v>221</v>
      </c>
      <c r="H129" s="125" t="s">
        <v>17</v>
      </c>
      <c r="I129" s="127" t="n">
        <v>102.08</v>
      </c>
      <c r="J129" s="128" t="n">
        <v>253.42</v>
      </c>
      <c r="K129" s="128" t="n">
        <f aca="false">J129*(1+$K$7)</f>
        <v>316.775</v>
      </c>
      <c r="L129" s="128" t="n">
        <f aca="false">I129*K129</f>
        <v>32336.392</v>
      </c>
    </row>
    <row r="130" customFormat="false" ht="15" hidden="false" customHeight="false" outlineLevel="0" collapsed="false">
      <c r="D130" s="137" t="s">
        <v>223</v>
      </c>
      <c r="E130" s="125" t="s">
        <v>34</v>
      </c>
      <c r="F130" s="125" t="s">
        <v>224</v>
      </c>
      <c r="G130" s="126" t="s">
        <v>225</v>
      </c>
      <c r="H130" s="125" t="s">
        <v>17</v>
      </c>
      <c r="I130" s="127" t="n">
        <v>52</v>
      </c>
      <c r="J130" s="128" t="n">
        <v>245.87</v>
      </c>
      <c r="K130" s="128" t="n">
        <f aca="false">J130*(1+$K$7)</f>
        <v>307.3375</v>
      </c>
      <c r="L130" s="128" t="n">
        <f aca="false">I130*K130</f>
        <v>15981.55</v>
      </c>
    </row>
    <row r="131" customFormat="false" ht="25.5" hidden="false" customHeight="false" outlineLevel="0" collapsed="false">
      <c r="D131" s="137" t="s">
        <v>227</v>
      </c>
      <c r="E131" s="125" t="s">
        <v>34</v>
      </c>
      <c r="F131" s="125" t="s">
        <v>228</v>
      </c>
      <c r="G131" s="126" t="s">
        <v>229</v>
      </c>
      <c r="H131" s="125" t="s">
        <v>17</v>
      </c>
      <c r="I131" s="127" t="n">
        <v>9.18</v>
      </c>
      <c r="J131" s="128" t="n">
        <v>265.87</v>
      </c>
      <c r="K131" s="128" t="n">
        <f aca="false">J131*(1+$K$7)</f>
        <v>332.3375</v>
      </c>
      <c r="L131" s="128" t="n">
        <f aca="false">I131*K131</f>
        <v>3050.85825</v>
      </c>
    </row>
    <row r="132" customFormat="false" ht="25.5" hidden="false" customHeight="false" outlineLevel="0" collapsed="false">
      <c r="D132" s="137" t="s">
        <v>231</v>
      </c>
      <c r="E132" s="125" t="s">
        <v>34</v>
      </c>
      <c r="F132" s="125" t="s">
        <v>224</v>
      </c>
      <c r="G132" s="126" t="s">
        <v>232</v>
      </c>
      <c r="H132" s="125" t="s">
        <v>17</v>
      </c>
      <c r="I132" s="127" t="n">
        <v>7</v>
      </c>
      <c r="J132" s="128" t="n">
        <v>245.87</v>
      </c>
      <c r="K132" s="128" t="n">
        <f aca="false">J132*(1+$K$7)</f>
        <v>307.3375</v>
      </c>
      <c r="L132" s="128" t="n">
        <f aca="false">I132*K132</f>
        <v>2151.3625</v>
      </c>
    </row>
    <row r="133" customFormat="false" ht="25.5" hidden="false" customHeight="false" outlineLevel="0" collapsed="false">
      <c r="D133" s="137" t="s">
        <v>234</v>
      </c>
      <c r="E133" s="125" t="s">
        <v>34</v>
      </c>
      <c r="F133" s="125" t="s">
        <v>235</v>
      </c>
      <c r="G133" s="126" t="s">
        <v>236</v>
      </c>
      <c r="H133" s="125" t="s">
        <v>17</v>
      </c>
      <c r="I133" s="127" t="n">
        <v>3.36</v>
      </c>
      <c r="J133" s="128" t="n">
        <v>253.01</v>
      </c>
      <c r="K133" s="128" t="n">
        <f aca="false">J133*(1+$K$7)</f>
        <v>316.2625</v>
      </c>
      <c r="L133" s="128" t="n">
        <f aca="false">I133*K133</f>
        <v>1062.642</v>
      </c>
    </row>
    <row r="134" customFormat="false" ht="131.25" hidden="false" customHeight="true" outlineLevel="0" collapsed="false">
      <c r="D134" s="137" t="s">
        <v>237</v>
      </c>
      <c r="E134" s="125" t="s">
        <v>34</v>
      </c>
      <c r="F134" s="125" t="s">
        <v>238</v>
      </c>
      <c r="G134" s="126" t="s">
        <v>572</v>
      </c>
      <c r="H134" s="125" t="s">
        <v>240</v>
      </c>
      <c r="I134" s="127" t="n">
        <v>1</v>
      </c>
      <c r="J134" s="128" t="n">
        <v>238.62</v>
      </c>
      <c r="K134" s="128" t="n">
        <f aca="false">J134*(1+$K$7)</f>
        <v>298.275</v>
      </c>
      <c r="L134" s="128" t="n">
        <f aca="false">I134*K134</f>
        <v>298.275</v>
      </c>
    </row>
    <row r="135" customFormat="false" ht="15" hidden="false" customHeight="false" outlineLevel="0" collapsed="false">
      <c r="D135" s="130" t="s">
        <v>569</v>
      </c>
      <c r="E135" s="130"/>
      <c r="F135" s="130"/>
      <c r="G135" s="130"/>
      <c r="H135" s="130"/>
      <c r="I135" s="130"/>
      <c r="J135" s="130"/>
      <c r="K135" s="130"/>
      <c r="L135" s="131" t="n">
        <f aca="false">SUM(L123:L134)</f>
        <v>141861.598125</v>
      </c>
    </row>
    <row r="136" customFormat="false" ht="15" hidden="false" customHeight="false" outlineLevel="0" collapsed="false">
      <c r="D136" s="123" t="n">
        <v>13</v>
      </c>
      <c r="E136" s="123"/>
      <c r="F136" s="123"/>
      <c r="G136" s="124" t="s">
        <v>95</v>
      </c>
      <c r="H136" s="123"/>
      <c r="I136" s="123"/>
      <c r="J136" s="123"/>
      <c r="K136" s="123"/>
      <c r="L136" s="123"/>
    </row>
    <row r="137" customFormat="false" ht="25.5" hidden="false" customHeight="false" outlineLevel="0" collapsed="false">
      <c r="D137" s="137" t="s">
        <v>241</v>
      </c>
      <c r="E137" s="125" t="s">
        <v>34</v>
      </c>
      <c r="F137" s="125" t="s">
        <v>97</v>
      </c>
      <c r="G137" s="126" t="s">
        <v>98</v>
      </c>
      <c r="H137" s="125" t="s">
        <v>17</v>
      </c>
      <c r="I137" s="136" t="n">
        <v>16.26</v>
      </c>
      <c r="J137" s="135" t="n">
        <v>249.51</v>
      </c>
      <c r="K137" s="128" t="n">
        <f aca="false">J137*(1+$K$7)</f>
        <v>311.8875</v>
      </c>
      <c r="L137" s="128" t="n">
        <f aca="false">I137*K137</f>
        <v>5071.29075</v>
      </c>
    </row>
    <row r="138" customFormat="false" ht="38.25" hidden="false" customHeight="false" outlineLevel="0" collapsed="false">
      <c r="D138" s="140" t="s">
        <v>243</v>
      </c>
      <c r="E138" s="125" t="s">
        <v>101</v>
      </c>
      <c r="F138" s="125" t="n">
        <v>4917</v>
      </c>
      <c r="G138" s="126" t="s">
        <v>102</v>
      </c>
      <c r="H138" s="125" t="s">
        <v>17</v>
      </c>
      <c r="I138" s="141" t="n">
        <v>4.32</v>
      </c>
      <c r="J138" s="135" t="n">
        <v>465.73</v>
      </c>
      <c r="K138" s="128" t="n">
        <f aca="false">J138*(1+$K$7)</f>
        <v>582.1625</v>
      </c>
      <c r="L138" s="128" t="n">
        <f aca="false">I138*K138</f>
        <v>2514.942</v>
      </c>
    </row>
    <row r="139" customFormat="false" ht="15" hidden="false" customHeight="false" outlineLevel="0" collapsed="false">
      <c r="D139" s="130" t="s">
        <v>569</v>
      </c>
      <c r="E139" s="130"/>
      <c r="F139" s="130"/>
      <c r="G139" s="130"/>
      <c r="H139" s="130"/>
      <c r="I139" s="130"/>
      <c r="J139" s="130"/>
      <c r="K139" s="130"/>
      <c r="L139" s="131" t="n">
        <f aca="false">SUM(L137:L138)</f>
        <v>7586.23275</v>
      </c>
      <c r="N139" s="117"/>
    </row>
    <row r="140" customFormat="false" ht="15" hidden="false" customHeight="false" outlineLevel="0" collapsed="false">
      <c r="D140" s="123" t="n">
        <v>14</v>
      </c>
      <c r="E140" s="123"/>
      <c r="F140" s="123"/>
      <c r="G140" s="124" t="s">
        <v>244</v>
      </c>
      <c r="H140" s="123"/>
      <c r="I140" s="123"/>
      <c r="J140" s="123"/>
      <c r="K140" s="123"/>
      <c r="L140" s="123"/>
      <c r="N140" s="117"/>
    </row>
    <row r="141" customFormat="false" ht="87" hidden="false" customHeight="true" outlineLevel="0" collapsed="false">
      <c r="D141" s="137" t="s">
        <v>245</v>
      </c>
      <c r="E141" s="9" t="s">
        <v>34</v>
      </c>
      <c r="F141" s="9" t="s">
        <v>86</v>
      </c>
      <c r="G141" s="10" t="s">
        <v>246</v>
      </c>
      <c r="H141" s="125" t="s">
        <v>17</v>
      </c>
      <c r="I141" s="136" t="n">
        <v>417.15</v>
      </c>
      <c r="J141" s="135" t="n">
        <v>12.52</v>
      </c>
      <c r="K141" s="128" t="n">
        <f aca="false">J141*(1+$K$7)</f>
        <v>15.65</v>
      </c>
      <c r="L141" s="128" t="n">
        <f aca="false">I141*K141</f>
        <v>6528.3975</v>
      </c>
      <c r="N141" s="117"/>
    </row>
    <row r="142" customFormat="false" ht="25.5" hidden="false" customHeight="false" outlineLevel="0" collapsed="false">
      <c r="D142" s="137" t="s">
        <v>248</v>
      </c>
      <c r="E142" s="125" t="s">
        <v>14</v>
      </c>
      <c r="F142" s="125" t="n">
        <v>88489</v>
      </c>
      <c r="G142" s="126" t="s">
        <v>90</v>
      </c>
      <c r="H142" s="125" t="s">
        <v>17</v>
      </c>
      <c r="I142" s="136" t="n">
        <v>1195.33</v>
      </c>
      <c r="J142" s="135" t="n">
        <v>11.95</v>
      </c>
      <c r="K142" s="128" t="n">
        <f aca="false">J142*(1+$K$7)</f>
        <v>14.9375</v>
      </c>
      <c r="L142" s="128" t="n">
        <f aca="false">I142*K142</f>
        <v>17855.241875</v>
      </c>
      <c r="N142" s="117"/>
    </row>
    <row r="143" customFormat="false" ht="51" hidden="false" customHeight="false" outlineLevel="0" collapsed="false">
      <c r="D143" s="137" t="s">
        <v>250</v>
      </c>
      <c r="E143" s="125" t="s">
        <v>14</v>
      </c>
      <c r="F143" s="125" t="n">
        <v>100741</v>
      </c>
      <c r="G143" s="126" t="s">
        <v>251</v>
      </c>
      <c r="H143" s="125" t="s">
        <v>17</v>
      </c>
      <c r="I143" s="136" t="n">
        <v>213.32</v>
      </c>
      <c r="J143" s="135" t="n">
        <v>18.14</v>
      </c>
      <c r="K143" s="128" t="n">
        <f aca="false">J143*(1+$K$7)</f>
        <v>22.675</v>
      </c>
      <c r="L143" s="128" t="n">
        <f aca="false">I143*K143</f>
        <v>4837.031</v>
      </c>
    </row>
    <row r="144" customFormat="false" ht="15" hidden="false" customHeight="false" outlineLevel="0" collapsed="false">
      <c r="D144" s="130" t="s">
        <v>569</v>
      </c>
      <c r="E144" s="130"/>
      <c r="F144" s="130"/>
      <c r="G144" s="130"/>
      <c r="H144" s="130"/>
      <c r="I144" s="130"/>
      <c r="J144" s="130"/>
      <c r="K144" s="130"/>
      <c r="L144" s="131" t="n">
        <f aca="false">SUM(L141:L143)</f>
        <v>29220.670375</v>
      </c>
    </row>
    <row r="145" customFormat="false" ht="15" hidden="false" customHeight="false" outlineLevel="0" collapsed="false">
      <c r="D145" s="123" t="n">
        <v>15</v>
      </c>
      <c r="E145" s="123"/>
      <c r="F145" s="123"/>
      <c r="G145" s="124" t="s">
        <v>104</v>
      </c>
      <c r="H145" s="123"/>
      <c r="I145" s="123"/>
      <c r="J145" s="123"/>
      <c r="K145" s="123"/>
      <c r="L145" s="123"/>
    </row>
    <row r="146" customFormat="false" ht="25.5" hidden="false" customHeight="false" outlineLevel="0" collapsed="false">
      <c r="D146" s="137" t="s">
        <v>253</v>
      </c>
      <c r="E146" s="125" t="s">
        <v>14</v>
      </c>
      <c r="F146" s="125" t="n">
        <v>99814</v>
      </c>
      <c r="G146" s="126" t="s">
        <v>107</v>
      </c>
      <c r="H146" s="125" t="s">
        <v>17</v>
      </c>
      <c r="I146" s="136" t="n">
        <v>532.15</v>
      </c>
      <c r="J146" s="135" t="n">
        <v>1.27</v>
      </c>
      <c r="K146" s="128" t="n">
        <f aca="false">J146*(1+$K$7)</f>
        <v>1.5875</v>
      </c>
      <c r="L146" s="128" t="n">
        <f aca="false">I146*K146</f>
        <v>844.788125</v>
      </c>
    </row>
    <row r="147" customFormat="false" ht="15" hidden="false" customHeight="false" outlineLevel="0" collapsed="false">
      <c r="D147" s="130" t="s">
        <v>569</v>
      </c>
      <c r="E147" s="130"/>
      <c r="F147" s="130"/>
      <c r="G147" s="130"/>
      <c r="H147" s="130"/>
      <c r="I147" s="130"/>
      <c r="J147" s="130"/>
      <c r="K147" s="130"/>
      <c r="L147" s="131" t="n">
        <f aca="false">SUM(L146)</f>
        <v>844.788125</v>
      </c>
    </row>
    <row r="148" customFormat="false" ht="29.45" hidden="false" customHeight="true" outlineLevel="0" collapsed="false">
      <c r="D148" s="142" t="s">
        <v>573</v>
      </c>
      <c r="E148" s="142"/>
      <c r="F148" s="142"/>
      <c r="G148" s="142"/>
      <c r="H148" s="142"/>
      <c r="I148" s="142"/>
      <c r="J148" s="142"/>
      <c r="K148" s="142"/>
      <c r="L148" s="143" t="n">
        <f aca="false">SUM(L57+L63+L72+L84+L87+L94+L103+L106+L110+L116+L121+L135+L139+L144+L147)</f>
        <v>956579.001375</v>
      </c>
    </row>
    <row r="149" customFormat="false" ht="15" hidden="false" customHeight="false" outlineLevel="0" collapsed="false">
      <c r="D149" s="144"/>
      <c r="E149" s="144"/>
      <c r="F149" s="144"/>
      <c r="G149" s="144"/>
      <c r="H149" s="144"/>
      <c r="I149" s="144"/>
      <c r="J149" s="144"/>
      <c r="K149" s="144"/>
      <c r="L149" s="144"/>
    </row>
    <row r="150" customFormat="false" ht="15" hidden="false" customHeight="false" outlineLevel="0" collapsed="false">
      <c r="D150" s="144"/>
      <c r="E150" s="144"/>
      <c r="F150" s="144"/>
      <c r="G150" s="144"/>
      <c r="H150" s="144"/>
      <c r="I150" s="144"/>
      <c r="J150" s="144"/>
      <c r="K150" s="144"/>
      <c r="L150" s="144"/>
    </row>
    <row r="151" customFormat="false" ht="15" hidden="false" customHeight="false" outlineLevel="0" collapsed="false">
      <c r="D151" s="115" t="s">
        <v>254</v>
      </c>
      <c r="E151" s="115"/>
      <c r="F151" s="115"/>
      <c r="G151" s="115"/>
      <c r="H151" s="115"/>
      <c r="I151" s="115"/>
      <c r="J151" s="115"/>
      <c r="K151" s="115"/>
      <c r="L151" s="115"/>
    </row>
    <row r="152" customFormat="false" ht="15" hidden="false" customHeight="false" outlineLevel="0" collapsed="false">
      <c r="D152" s="123" t="n">
        <v>1</v>
      </c>
      <c r="E152" s="123"/>
      <c r="F152" s="123"/>
      <c r="G152" s="124" t="s">
        <v>255</v>
      </c>
      <c r="H152" s="123"/>
      <c r="I152" s="123"/>
      <c r="J152" s="123"/>
      <c r="K152" s="123"/>
      <c r="L152" s="123"/>
    </row>
    <row r="153" customFormat="false" ht="15" hidden="false" customHeight="false" outlineLevel="0" collapsed="false">
      <c r="D153" s="137" t="s">
        <v>13</v>
      </c>
      <c r="E153" s="150" t="s">
        <v>14</v>
      </c>
      <c r="F153" s="150" t="n">
        <v>38978</v>
      </c>
      <c r="G153" s="151" t="s">
        <v>256</v>
      </c>
      <c r="H153" s="150" t="s">
        <v>257</v>
      </c>
      <c r="I153" s="152" t="n">
        <v>47.17</v>
      </c>
      <c r="J153" s="153" t="n">
        <v>4.71</v>
      </c>
      <c r="K153" s="128" t="n">
        <f aca="false">J153*(1+$K$7)</f>
        <v>5.8875</v>
      </c>
      <c r="L153" s="128" t="n">
        <f aca="false">I153*K153</f>
        <v>277.713375</v>
      </c>
    </row>
    <row r="154" customFormat="false" ht="15" hidden="false" customHeight="false" outlineLevel="0" collapsed="false">
      <c r="D154" s="137" t="s">
        <v>19</v>
      </c>
      <c r="E154" s="150" t="s">
        <v>14</v>
      </c>
      <c r="F154" s="150" t="n">
        <v>1031</v>
      </c>
      <c r="G154" s="151" t="s">
        <v>258</v>
      </c>
      <c r="H154" s="150" t="s">
        <v>240</v>
      </c>
      <c r="I154" s="152" t="n">
        <v>22</v>
      </c>
      <c r="J154" s="153" t="n">
        <v>14.22</v>
      </c>
      <c r="K154" s="128" t="n">
        <f aca="false">J154*(1+$K$7)</f>
        <v>17.775</v>
      </c>
      <c r="L154" s="128" t="n">
        <f aca="false">I154*K154</f>
        <v>391.05</v>
      </c>
    </row>
    <row r="155" customFormat="false" ht="63.75" hidden="false" customHeight="false" outlineLevel="0" collapsed="false">
      <c r="D155" s="137" t="s">
        <v>23</v>
      </c>
      <c r="E155" s="150" t="s">
        <v>34</v>
      </c>
      <c r="F155" s="150" t="s">
        <v>259</v>
      </c>
      <c r="G155" s="151" t="s">
        <v>574</v>
      </c>
      <c r="H155" s="150" t="s">
        <v>240</v>
      </c>
      <c r="I155" s="152" t="n">
        <v>22</v>
      </c>
      <c r="J155" s="153" t="n">
        <v>42.09</v>
      </c>
      <c r="K155" s="128" t="n">
        <f aca="false">J155*(1+$K$7)</f>
        <v>52.6125</v>
      </c>
      <c r="L155" s="128" t="n">
        <f aca="false">I155*K155</f>
        <v>1157.475</v>
      </c>
    </row>
    <row r="156" customFormat="false" ht="15" hidden="false" customHeight="false" outlineLevel="0" collapsed="false">
      <c r="D156" s="137" t="s">
        <v>261</v>
      </c>
      <c r="E156" s="150" t="s">
        <v>14</v>
      </c>
      <c r="F156" s="150" t="n">
        <v>9856</v>
      </c>
      <c r="G156" s="151" t="s">
        <v>262</v>
      </c>
      <c r="H156" s="150" t="s">
        <v>257</v>
      </c>
      <c r="I156" s="152" t="n">
        <v>0.28</v>
      </c>
      <c r="J156" s="153" t="n">
        <v>9.19</v>
      </c>
      <c r="K156" s="128" t="n">
        <f aca="false">J156*(1+$K$7)</f>
        <v>11.4875</v>
      </c>
      <c r="L156" s="128" t="n">
        <f aca="false">I156*K156</f>
        <v>3.2165</v>
      </c>
    </row>
    <row r="157" customFormat="false" ht="15" hidden="false" customHeight="false" outlineLevel="0" collapsed="false">
      <c r="D157" s="137" t="s">
        <v>263</v>
      </c>
      <c r="E157" s="150" t="s">
        <v>14</v>
      </c>
      <c r="F157" s="150" t="n">
        <v>9867</v>
      </c>
      <c r="G157" s="151" t="s">
        <v>264</v>
      </c>
      <c r="H157" s="150" t="s">
        <v>257</v>
      </c>
      <c r="I157" s="152" t="n">
        <v>47.17</v>
      </c>
      <c r="J157" s="153" t="n">
        <v>3.77</v>
      </c>
      <c r="K157" s="128" t="n">
        <f aca="false">J157*(1+$K$7)</f>
        <v>4.7125</v>
      </c>
      <c r="L157" s="128" t="n">
        <f aca="false">I157*K157</f>
        <v>222.288625</v>
      </c>
    </row>
    <row r="158" customFormat="false" ht="15" hidden="false" customHeight="false" outlineLevel="0" collapsed="false">
      <c r="D158" s="137" t="s">
        <v>265</v>
      </c>
      <c r="E158" s="150" t="s">
        <v>14</v>
      </c>
      <c r="F158" s="150" t="n">
        <v>9868</v>
      </c>
      <c r="G158" s="151" t="s">
        <v>266</v>
      </c>
      <c r="H158" s="150" t="s">
        <v>257</v>
      </c>
      <c r="I158" s="152" t="n">
        <f aca="false">266.91+71.24</f>
        <v>338.15</v>
      </c>
      <c r="J158" s="153" t="n">
        <v>4.83</v>
      </c>
      <c r="K158" s="128" t="n">
        <f aca="false">J158*(1+$K$7)</f>
        <v>6.0375</v>
      </c>
      <c r="L158" s="128" t="n">
        <f aca="false">I158*K158</f>
        <v>2041.580625</v>
      </c>
    </row>
    <row r="159" customFormat="false" ht="15" hidden="false" customHeight="false" outlineLevel="0" collapsed="false">
      <c r="D159" s="137" t="s">
        <v>267</v>
      </c>
      <c r="E159" s="150" t="s">
        <v>14</v>
      </c>
      <c r="F159" s="150" t="n">
        <v>9875</v>
      </c>
      <c r="G159" s="151" t="s">
        <v>268</v>
      </c>
      <c r="H159" s="150" t="s">
        <v>257</v>
      </c>
      <c r="I159" s="152" t="n">
        <f aca="false">46.4+66.48</f>
        <v>112.88</v>
      </c>
      <c r="J159" s="153" t="n">
        <v>18.09</v>
      </c>
      <c r="K159" s="128" t="n">
        <f aca="false">J159*(1+$K$7)</f>
        <v>22.6125</v>
      </c>
      <c r="L159" s="128" t="n">
        <f aca="false">I159*K159</f>
        <v>2552.499</v>
      </c>
    </row>
    <row r="160" customFormat="false" ht="15" hidden="false" customHeight="false" outlineLevel="0" collapsed="false">
      <c r="D160" s="137" t="s">
        <v>269</v>
      </c>
      <c r="E160" s="150" t="s">
        <v>14</v>
      </c>
      <c r="F160" s="150" t="n">
        <v>9873</v>
      </c>
      <c r="G160" s="151" t="s">
        <v>270</v>
      </c>
      <c r="H160" s="150" t="s">
        <v>257</v>
      </c>
      <c r="I160" s="152" t="n">
        <v>70.89</v>
      </c>
      <c r="J160" s="153" t="n">
        <v>30.51</v>
      </c>
      <c r="K160" s="128" t="n">
        <f aca="false">J160*(1+$K$7)</f>
        <v>38.1375</v>
      </c>
      <c r="L160" s="128" t="n">
        <f aca="false">I160*K160</f>
        <v>2703.567375</v>
      </c>
    </row>
    <row r="161" customFormat="false" ht="15" hidden="false" customHeight="false" outlineLevel="0" collapsed="false">
      <c r="D161" s="137" t="s">
        <v>271</v>
      </c>
      <c r="E161" s="150" t="s">
        <v>14</v>
      </c>
      <c r="F161" s="150" t="n">
        <v>9871</v>
      </c>
      <c r="G161" s="151" t="s">
        <v>272</v>
      </c>
      <c r="H161" s="150" t="s">
        <v>257</v>
      </c>
      <c r="I161" s="152" t="n">
        <v>32.16</v>
      </c>
      <c r="J161" s="153" t="n">
        <v>51.12</v>
      </c>
      <c r="K161" s="128" t="n">
        <f aca="false">J161*(1+$K$7)</f>
        <v>63.9</v>
      </c>
      <c r="L161" s="128" t="n">
        <f aca="false">I161*K161</f>
        <v>2055.024</v>
      </c>
    </row>
    <row r="162" customFormat="false" ht="15" hidden="false" customHeight="false" outlineLevel="0" collapsed="false">
      <c r="D162" s="137" t="s">
        <v>273</v>
      </c>
      <c r="E162" s="150" t="s">
        <v>14</v>
      </c>
      <c r="F162" s="150" t="n">
        <v>9841</v>
      </c>
      <c r="G162" s="151" t="s">
        <v>274</v>
      </c>
      <c r="H162" s="150" t="s">
        <v>257</v>
      </c>
      <c r="I162" s="152" t="n">
        <f aca="false">60.12+233.01</f>
        <v>293.13</v>
      </c>
      <c r="J162" s="153" t="n">
        <v>43.81</v>
      </c>
      <c r="K162" s="128" t="n">
        <f aca="false">J162*(1+$K$7)</f>
        <v>54.7625</v>
      </c>
      <c r="L162" s="128" t="n">
        <f aca="false">I162*K162</f>
        <v>16052.531625</v>
      </c>
    </row>
    <row r="163" customFormat="false" ht="15" hidden="false" customHeight="false" outlineLevel="0" collapsed="false">
      <c r="D163" s="137" t="s">
        <v>275</v>
      </c>
      <c r="E163" s="150" t="s">
        <v>14</v>
      </c>
      <c r="F163" s="150" t="n">
        <v>20067</v>
      </c>
      <c r="G163" s="151" t="s">
        <v>276</v>
      </c>
      <c r="H163" s="150" t="s">
        <v>257</v>
      </c>
      <c r="I163" s="152" t="n">
        <v>59.37</v>
      </c>
      <c r="J163" s="153" t="n">
        <v>15.3</v>
      </c>
      <c r="K163" s="128" t="n">
        <f aca="false">J163*(1+$K$7)</f>
        <v>19.125</v>
      </c>
      <c r="L163" s="128" t="n">
        <f aca="false">I163*K163</f>
        <v>1135.45125</v>
      </c>
    </row>
    <row r="164" customFormat="false" ht="15" hidden="false" customHeight="false" outlineLevel="0" collapsed="false">
      <c r="D164" s="137" t="s">
        <v>277</v>
      </c>
      <c r="E164" s="150" t="s">
        <v>14</v>
      </c>
      <c r="F164" s="150" t="n">
        <v>9839</v>
      </c>
      <c r="G164" s="151" t="s">
        <v>278</v>
      </c>
      <c r="H164" s="150" t="s">
        <v>257</v>
      </c>
      <c r="I164" s="152" t="n">
        <v>8.71</v>
      </c>
      <c r="J164" s="153" t="n">
        <v>25.01</v>
      </c>
      <c r="K164" s="128" t="n">
        <f aca="false">J164*(1+$K$7)</f>
        <v>31.2625</v>
      </c>
      <c r="L164" s="128" t="n">
        <f aca="false">I164*K164</f>
        <v>272.296375</v>
      </c>
    </row>
    <row r="165" customFormat="false" ht="15" hidden="false" customHeight="false" outlineLevel="0" collapsed="false">
      <c r="D165" s="137" t="s">
        <v>279</v>
      </c>
      <c r="E165" s="150" t="s">
        <v>14</v>
      </c>
      <c r="F165" s="150" t="n">
        <v>20068</v>
      </c>
      <c r="G165" s="151" t="s">
        <v>280</v>
      </c>
      <c r="H165" s="150" t="s">
        <v>257</v>
      </c>
      <c r="I165" s="152" t="n">
        <f aca="false">59.49+11.77</f>
        <v>71.26</v>
      </c>
      <c r="J165" s="153" t="n">
        <v>19.08</v>
      </c>
      <c r="K165" s="128" t="n">
        <f aca="false">J165*(1+$K$7)</f>
        <v>23.85</v>
      </c>
      <c r="L165" s="128" t="n">
        <f aca="false">I165*K165</f>
        <v>1699.551</v>
      </c>
    </row>
    <row r="166" customFormat="false" ht="15" hidden="false" customHeight="false" outlineLevel="0" collapsed="false">
      <c r="D166" s="137" t="s">
        <v>281</v>
      </c>
      <c r="E166" s="150" t="s">
        <v>14</v>
      </c>
      <c r="F166" s="150" t="n">
        <v>6010</v>
      </c>
      <c r="G166" s="151" t="s">
        <v>282</v>
      </c>
      <c r="H166" s="150" t="s">
        <v>240</v>
      </c>
      <c r="I166" s="152" t="n">
        <v>36</v>
      </c>
      <c r="J166" s="153" t="n">
        <v>91.17</v>
      </c>
      <c r="K166" s="128" t="n">
        <f aca="false">J166*(1+$K$7)</f>
        <v>113.9625</v>
      </c>
      <c r="L166" s="128" t="n">
        <f aca="false">I166*K166</f>
        <v>4102.65</v>
      </c>
    </row>
    <row r="167" customFormat="false" ht="25.5" hidden="false" customHeight="false" outlineLevel="0" collapsed="false">
      <c r="D167" s="137" t="s">
        <v>283</v>
      </c>
      <c r="E167" s="150" t="s">
        <v>14</v>
      </c>
      <c r="F167" s="150" t="n">
        <v>6024</v>
      </c>
      <c r="G167" s="151" t="s">
        <v>284</v>
      </c>
      <c r="H167" s="150" t="s">
        <v>240</v>
      </c>
      <c r="I167" s="152" t="n">
        <v>23</v>
      </c>
      <c r="J167" s="153" t="n">
        <v>77.24</v>
      </c>
      <c r="K167" s="128" t="n">
        <f aca="false">J167*(1+$K$7)</f>
        <v>96.55</v>
      </c>
      <c r="L167" s="128" t="n">
        <f aca="false">I167*K167</f>
        <v>2220.65</v>
      </c>
    </row>
    <row r="168" customFormat="false" ht="15" hidden="false" customHeight="false" outlineLevel="0" collapsed="false">
      <c r="D168" s="137" t="s">
        <v>285</v>
      </c>
      <c r="E168" s="150" t="s">
        <v>14</v>
      </c>
      <c r="F168" s="150" t="n">
        <v>6011</v>
      </c>
      <c r="G168" s="151" t="s">
        <v>286</v>
      </c>
      <c r="H168" s="150" t="s">
        <v>287</v>
      </c>
      <c r="I168" s="152" t="n">
        <v>3</v>
      </c>
      <c r="J168" s="153" t="n">
        <v>263.38</v>
      </c>
      <c r="K168" s="128" t="n">
        <f aca="false">J168*(1+$K$7)</f>
        <v>329.225</v>
      </c>
      <c r="L168" s="128" t="n">
        <f aca="false">I168*K168</f>
        <v>987.675</v>
      </c>
    </row>
    <row r="169" customFormat="false" ht="15" hidden="false" customHeight="false" outlineLevel="0" collapsed="false">
      <c r="D169" s="137" t="s">
        <v>288</v>
      </c>
      <c r="E169" s="150" t="s">
        <v>14</v>
      </c>
      <c r="F169" s="150" t="n">
        <v>6034</v>
      </c>
      <c r="G169" s="151" t="s">
        <v>289</v>
      </c>
      <c r="H169" s="150" t="s">
        <v>240</v>
      </c>
      <c r="I169" s="152" t="n">
        <v>1</v>
      </c>
      <c r="J169" s="153" t="n">
        <v>13.09</v>
      </c>
      <c r="K169" s="128" t="n">
        <f aca="false">J169*(1+$K$7)</f>
        <v>16.3625</v>
      </c>
      <c r="L169" s="128" t="n">
        <f aca="false">I169*K169</f>
        <v>16.3625</v>
      </c>
    </row>
    <row r="170" customFormat="false" ht="25.5" hidden="false" customHeight="false" outlineLevel="0" collapsed="false">
      <c r="D170" s="137" t="s">
        <v>290</v>
      </c>
      <c r="E170" s="150" t="s">
        <v>14</v>
      </c>
      <c r="F170" s="150" t="n">
        <v>11670</v>
      </c>
      <c r="G170" s="151" t="s">
        <v>291</v>
      </c>
      <c r="H170" s="150" t="s">
        <v>240</v>
      </c>
      <c r="I170" s="152" t="n">
        <v>4</v>
      </c>
      <c r="J170" s="153" t="n">
        <v>22.14</v>
      </c>
      <c r="K170" s="128" t="n">
        <f aca="false">J170*(1+$K$7)</f>
        <v>27.675</v>
      </c>
      <c r="L170" s="128" t="n">
        <f aca="false">I170*K170</f>
        <v>110.7</v>
      </c>
    </row>
    <row r="171" customFormat="false" ht="25.5" hidden="false" customHeight="false" outlineLevel="0" collapsed="false">
      <c r="D171" s="137" t="s">
        <v>292</v>
      </c>
      <c r="E171" s="150" t="s">
        <v>14</v>
      </c>
      <c r="F171" s="150" t="n">
        <v>107</v>
      </c>
      <c r="G171" s="151" t="s">
        <v>293</v>
      </c>
      <c r="H171" s="150" t="s">
        <v>240</v>
      </c>
      <c r="I171" s="152" t="n">
        <v>8</v>
      </c>
      <c r="J171" s="153" t="n">
        <v>0.93</v>
      </c>
      <c r="K171" s="128" t="n">
        <f aca="false">J171*(1+$K$7)</f>
        <v>1.1625</v>
      </c>
      <c r="L171" s="128" t="n">
        <f aca="false">I171*K171</f>
        <v>9.3</v>
      </c>
    </row>
    <row r="172" customFormat="false" ht="15" hidden="false" customHeight="false" outlineLevel="0" collapsed="false">
      <c r="D172" s="137" t="s">
        <v>294</v>
      </c>
      <c r="E172" s="150" t="s">
        <v>14</v>
      </c>
      <c r="F172" s="150" t="n">
        <v>65</v>
      </c>
      <c r="G172" s="151" t="s">
        <v>295</v>
      </c>
      <c r="H172" s="150" t="s">
        <v>240</v>
      </c>
      <c r="I172" s="152" t="n">
        <v>95</v>
      </c>
      <c r="J172" s="153" t="n">
        <v>1.14</v>
      </c>
      <c r="K172" s="128" t="n">
        <f aca="false">J172*(1+$K$7)</f>
        <v>1.425</v>
      </c>
      <c r="L172" s="128" t="n">
        <f aca="false">I172*K172</f>
        <v>135.375</v>
      </c>
    </row>
    <row r="173" customFormat="false" ht="25.5" hidden="false" customHeight="false" outlineLevel="0" collapsed="false">
      <c r="D173" s="137" t="s">
        <v>296</v>
      </c>
      <c r="E173" s="150" t="s">
        <v>14</v>
      </c>
      <c r="F173" s="150" t="n">
        <v>83</v>
      </c>
      <c r="G173" s="151" t="s">
        <v>297</v>
      </c>
      <c r="H173" s="150" t="s">
        <v>240</v>
      </c>
      <c r="I173" s="152" t="n">
        <v>3</v>
      </c>
      <c r="J173" s="153" t="n">
        <v>227.1</v>
      </c>
      <c r="K173" s="128" t="n">
        <f aca="false">J173*(1+$K$7)</f>
        <v>283.875</v>
      </c>
      <c r="L173" s="128" t="n">
        <f aca="false">I173*K173</f>
        <v>851.625</v>
      </c>
    </row>
    <row r="174" customFormat="false" ht="15" hidden="false" customHeight="false" outlineLevel="0" collapsed="false">
      <c r="D174" s="137" t="s">
        <v>298</v>
      </c>
      <c r="E174" s="150" t="s">
        <v>14</v>
      </c>
      <c r="F174" s="150" t="n">
        <v>112</v>
      </c>
      <c r="G174" s="151" t="s">
        <v>299</v>
      </c>
      <c r="H174" s="150" t="s">
        <v>240</v>
      </c>
      <c r="I174" s="152" t="n">
        <v>56</v>
      </c>
      <c r="J174" s="153" t="n">
        <v>5.74</v>
      </c>
      <c r="K174" s="128" t="n">
        <f aca="false">J174*(1+$K$7)</f>
        <v>7.175</v>
      </c>
      <c r="L174" s="128" t="n">
        <f aca="false">I174*K174</f>
        <v>401.8</v>
      </c>
    </row>
    <row r="175" customFormat="false" ht="25.5" hidden="false" customHeight="false" outlineLevel="0" collapsed="false">
      <c r="D175" s="137" t="s">
        <v>300</v>
      </c>
      <c r="E175" s="150" t="s">
        <v>14</v>
      </c>
      <c r="F175" s="150" t="n">
        <v>87</v>
      </c>
      <c r="G175" s="151" t="s">
        <v>301</v>
      </c>
      <c r="H175" s="150" t="s">
        <v>240</v>
      </c>
      <c r="I175" s="152" t="n">
        <v>3</v>
      </c>
      <c r="J175" s="153" t="n">
        <v>22.89</v>
      </c>
      <c r="K175" s="128" t="n">
        <f aca="false">J175*(1+$K$7)</f>
        <v>28.6125</v>
      </c>
      <c r="L175" s="128" t="n">
        <f aca="false">I175*K175</f>
        <v>85.8375</v>
      </c>
    </row>
    <row r="176" customFormat="false" ht="15" hidden="false" customHeight="false" outlineLevel="0" collapsed="false">
      <c r="D176" s="137" t="s">
        <v>302</v>
      </c>
      <c r="E176" s="150" t="s">
        <v>14</v>
      </c>
      <c r="F176" s="150" t="n">
        <v>10228</v>
      </c>
      <c r="G176" s="151" t="s">
        <v>303</v>
      </c>
      <c r="H176" s="150" t="s">
        <v>240</v>
      </c>
      <c r="I176" s="152" t="n">
        <v>22</v>
      </c>
      <c r="J176" s="153" t="n">
        <v>239.3</v>
      </c>
      <c r="K176" s="128" t="n">
        <f aca="false">J176*(1+$K$7)</f>
        <v>299.125</v>
      </c>
      <c r="L176" s="128" t="n">
        <f aca="false">I176*K176</f>
        <v>6580.75</v>
      </c>
    </row>
    <row r="177" customFormat="false" ht="15" hidden="false" customHeight="false" outlineLevel="0" collapsed="false">
      <c r="D177" s="137" t="s">
        <v>304</v>
      </c>
      <c r="E177" s="154" t="s">
        <v>14</v>
      </c>
      <c r="F177" s="150" t="n">
        <v>38643</v>
      </c>
      <c r="G177" s="151" t="s">
        <v>305</v>
      </c>
      <c r="H177" s="150" t="s">
        <v>240</v>
      </c>
      <c r="I177" s="152" t="n">
        <v>43</v>
      </c>
      <c r="J177" s="153" t="n">
        <v>40.49</v>
      </c>
      <c r="K177" s="128" t="n">
        <f aca="false">J177*(1+$K$7)</f>
        <v>50.6125</v>
      </c>
      <c r="L177" s="128" t="n">
        <f aca="false">I177*K177</f>
        <v>2176.3375</v>
      </c>
    </row>
    <row r="178" customFormat="false" ht="15" hidden="false" customHeight="false" outlineLevel="0" collapsed="false">
      <c r="D178" s="137" t="s">
        <v>306</v>
      </c>
      <c r="E178" s="150" t="s">
        <v>14</v>
      </c>
      <c r="F178" s="150" t="n">
        <v>6140</v>
      </c>
      <c r="G178" s="151" t="s">
        <v>307</v>
      </c>
      <c r="H178" s="150" t="s">
        <v>240</v>
      </c>
      <c r="I178" s="152" t="n">
        <v>22</v>
      </c>
      <c r="J178" s="153" t="n">
        <v>4.08</v>
      </c>
      <c r="K178" s="128" t="n">
        <f aca="false">J178*(1+$K$7)</f>
        <v>5.1</v>
      </c>
      <c r="L178" s="128" t="n">
        <f aca="false">I178*K178</f>
        <v>112.2</v>
      </c>
    </row>
    <row r="179" customFormat="false" ht="15" hidden="false" customHeight="false" outlineLevel="0" collapsed="false">
      <c r="D179" s="137" t="s">
        <v>308</v>
      </c>
      <c r="E179" s="150" t="s">
        <v>14</v>
      </c>
      <c r="F179" s="150" t="n">
        <v>11743</v>
      </c>
      <c r="G179" s="151" t="s">
        <v>309</v>
      </c>
      <c r="H179" s="150" t="s">
        <v>240</v>
      </c>
      <c r="I179" s="152" t="n">
        <v>5</v>
      </c>
      <c r="J179" s="153" t="n">
        <v>8.46</v>
      </c>
      <c r="K179" s="128" t="n">
        <f aca="false">J179*(1+$K$7)</f>
        <v>10.575</v>
      </c>
      <c r="L179" s="128" t="n">
        <f aca="false">I179*K179</f>
        <v>52.875</v>
      </c>
    </row>
    <row r="180" customFormat="false" ht="15" hidden="false" customHeight="false" outlineLevel="0" collapsed="false">
      <c r="D180" s="137" t="s">
        <v>310</v>
      </c>
      <c r="E180" s="150" t="s">
        <v>14</v>
      </c>
      <c r="F180" s="150" t="n">
        <v>1427</v>
      </c>
      <c r="G180" s="151" t="s">
        <v>311</v>
      </c>
      <c r="H180" s="150" t="s">
        <v>240</v>
      </c>
      <c r="I180" s="152" t="n">
        <v>1</v>
      </c>
      <c r="J180" s="153" t="n">
        <v>21.86</v>
      </c>
      <c r="K180" s="128" t="n">
        <f aca="false">J180*(1+$K$7)</f>
        <v>27.325</v>
      </c>
      <c r="L180" s="128" t="n">
        <f aca="false">I180*K180</f>
        <v>27.325</v>
      </c>
    </row>
    <row r="181" customFormat="false" ht="15" hidden="false" customHeight="false" outlineLevel="0" collapsed="false">
      <c r="D181" s="137" t="s">
        <v>312</v>
      </c>
      <c r="E181" s="150" t="s">
        <v>14</v>
      </c>
      <c r="F181" s="150" t="n">
        <v>6140</v>
      </c>
      <c r="G181" s="151" t="s">
        <v>313</v>
      </c>
      <c r="H181" s="150" t="s">
        <v>240</v>
      </c>
      <c r="I181" s="152" t="n">
        <v>34</v>
      </c>
      <c r="J181" s="153" t="n">
        <v>4.08</v>
      </c>
      <c r="K181" s="128" t="n">
        <f aca="false">J181*(1+$K$7)</f>
        <v>5.1</v>
      </c>
      <c r="L181" s="128" t="n">
        <f aca="false">I181*K181</f>
        <v>173.4</v>
      </c>
    </row>
    <row r="182" customFormat="false" ht="25.5" hidden="false" customHeight="false" outlineLevel="0" collapsed="false">
      <c r="D182" s="137" t="s">
        <v>314</v>
      </c>
      <c r="E182" s="150" t="s">
        <v>14</v>
      </c>
      <c r="F182" s="150" t="n">
        <v>10420</v>
      </c>
      <c r="G182" s="151" t="s">
        <v>315</v>
      </c>
      <c r="H182" s="150" t="s">
        <v>240</v>
      </c>
      <c r="I182" s="152" t="n">
        <v>22</v>
      </c>
      <c r="J182" s="153" t="n">
        <v>142.8</v>
      </c>
      <c r="K182" s="128" t="n">
        <f aca="false">J182*(1+$K$7)</f>
        <v>178.5</v>
      </c>
      <c r="L182" s="128" t="n">
        <f aca="false">I182*K182</f>
        <v>3927</v>
      </c>
    </row>
    <row r="183" customFormat="false" ht="15" hidden="false" customHeight="false" outlineLevel="0" collapsed="false">
      <c r="D183" s="137" t="s">
        <v>316</v>
      </c>
      <c r="E183" s="150" t="s">
        <v>14</v>
      </c>
      <c r="F183" s="150" t="n">
        <v>11717</v>
      </c>
      <c r="G183" s="151" t="s">
        <v>317</v>
      </c>
      <c r="H183" s="150" t="s">
        <v>240</v>
      </c>
      <c r="I183" s="152" t="n">
        <v>33</v>
      </c>
      <c r="J183" s="153" t="n">
        <v>45.32</v>
      </c>
      <c r="K183" s="128" t="n">
        <f aca="false">J183*(1+$K$7)</f>
        <v>56.65</v>
      </c>
      <c r="L183" s="128" t="n">
        <f aca="false">I183*K183</f>
        <v>1869.45</v>
      </c>
    </row>
    <row r="184" customFormat="false" ht="15" hidden="false" customHeight="false" outlineLevel="0" collapsed="false">
      <c r="D184" s="137" t="s">
        <v>318</v>
      </c>
      <c r="E184" s="150" t="s">
        <v>34</v>
      </c>
      <c r="F184" s="150" t="s">
        <v>319</v>
      </c>
      <c r="G184" s="155" t="s">
        <v>320</v>
      </c>
      <c r="H184" s="150" t="s">
        <v>240</v>
      </c>
      <c r="I184" s="152" t="n">
        <v>4</v>
      </c>
      <c r="J184" s="153" t="n">
        <v>1091.6</v>
      </c>
      <c r="K184" s="128" t="n">
        <f aca="false">J184*(1+$K$7)</f>
        <v>1364.5</v>
      </c>
      <c r="L184" s="128" t="n">
        <f aca="false">I184*K184</f>
        <v>5458</v>
      </c>
    </row>
    <row r="185" customFormat="false" ht="15" hidden="false" customHeight="false" outlineLevel="0" collapsed="false">
      <c r="D185" s="137" t="s">
        <v>321</v>
      </c>
      <c r="E185" s="154" t="s">
        <v>14</v>
      </c>
      <c r="F185" s="150" t="n">
        <v>11881</v>
      </c>
      <c r="G185" s="151" t="s">
        <v>322</v>
      </c>
      <c r="H185" s="150" t="s">
        <v>240</v>
      </c>
      <c r="I185" s="152" t="n">
        <v>4</v>
      </c>
      <c r="J185" s="153" t="n">
        <v>142.85</v>
      </c>
      <c r="K185" s="128" t="n">
        <f aca="false">J185*(1+$K$7)</f>
        <v>178.5625</v>
      </c>
      <c r="L185" s="128" t="n">
        <f aca="false">I185*K185</f>
        <v>714.25</v>
      </c>
    </row>
    <row r="186" customFormat="false" ht="53.25" hidden="false" customHeight="true" outlineLevel="0" collapsed="false">
      <c r="D186" s="137" t="s">
        <v>323</v>
      </c>
      <c r="E186" s="154" t="s">
        <v>34</v>
      </c>
      <c r="F186" s="150" t="s">
        <v>324</v>
      </c>
      <c r="G186" s="139" t="s">
        <v>575</v>
      </c>
      <c r="H186" s="150" t="s">
        <v>240</v>
      </c>
      <c r="I186" s="152" t="n">
        <v>20</v>
      </c>
      <c r="J186" s="153" t="n">
        <v>113.94</v>
      </c>
      <c r="K186" s="128" t="n">
        <f aca="false">J186*(1+$K$7)</f>
        <v>142.425</v>
      </c>
      <c r="L186" s="128" t="n">
        <f aca="false">I186*K186</f>
        <v>2848.5</v>
      </c>
    </row>
    <row r="187" customFormat="false" ht="15" hidden="false" customHeight="false" outlineLevel="0" collapsed="false">
      <c r="D187" s="137" t="s">
        <v>326</v>
      </c>
      <c r="E187" s="150" t="s">
        <v>14</v>
      </c>
      <c r="F187" s="150" t="n">
        <v>6149</v>
      </c>
      <c r="G187" s="151" t="s">
        <v>327</v>
      </c>
      <c r="H187" s="150" t="s">
        <v>240</v>
      </c>
      <c r="I187" s="152" t="n">
        <v>42</v>
      </c>
      <c r="J187" s="153" t="n">
        <v>14.51</v>
      </c>
      <c r="K187" s="128" t="n">
        <f aca="false">J187*(1+$K$7)</f>
        <v>18.1375</v>
      </c>
      <c r="L187" s="128" t="n">
        <f aca="false">I187*K187</f>
        <v>761.775</v>
      </c>
    </row>
    <row r="188" customFormat="false" ht="15" hidden="false" customHeight="false" outlineLevel="0" collapsed="false">
      <c r="D188" s="137" t="s">
        <v>328</v>
      </c>
      <c r="E188" s="150" t="s">
        <v>14</v>
      </c>
      <c r="F188" s="150" t="n">
        <v>89406</v>
      </c>
      <c r="G188" s="151" t="s">
        <v>329</v>
      </c>
      <c r="H188" s="150" t="s">
        <v>240</v>
      </c>
      <c r="I188" s="152" t="n">
        <v>11</v>
      </c>
      <c r="J188" s="153" t="n">
        <v>6.46</v>
      </c>
      <c r="K188" s="128" t="n">
        <f aca="false">J188*(1+$K$7)</f>
        <v>8.075</v>
      </c>
      <c r="L188" s="128" t="n">
        <f aca="false">I188*K188</f>
        <v>88.825</v>
      </c>
    </row>
    <row r="189" customFormat="false" ht="15" hidden="false" customHeight="false" outlineLevel="0" collapsed="false">
      <c r="D189" s="137" t="s">
        <v>330</v>
      </c>
      <c r="E189" s="150" t="s">
        <v>14</v>
      </c>
      <c r="F189" s="150" t="n">
        <v>1956</v>
      </c>
      <c r="G189" s="151" t="s">
        <v>331</v>
      </c>
      <c r="H189" s="150" t="s">
        <v>240</v>
      </c>
      <c r="I189" s="152" t="n">
        <f aca="false">96+41</f>
        <v>137</v>
      </c>
      <c r="J189" s="153" t="n">
        <v>4</v>
      </c>
      <c r="K189" s="128" t="n">
        <f aca="false">J189*(1+$K$7)</f>
        <v>5</v>
      </c>
      <c r="L189" s="128" t="n">
        <f aca="false">I189*K189</f>
        <v>685</v>
      </c>
    </row>
    <row r="190" customFormat="false" ht="15" hidden="false" customHeight="false" outlineLevel="0" collapsed="false">
      <c r="D190" s="137" t="s">
        <v>332</v>
      </c>
      <c r="E190" s="150" t="s">
        <v>14</v>
      </c>
      <c r="F190" s="150" t="n">
        <v>1959</v>
      </c>
      <c r="G190" s="151" t="s">
        <v>333</v>
      </c>
      <c r="H190" s="150" t="s">
        <v>240</v>
      </c>
      <c r="I190" s="152" t="n">
        <f aca="false">27+28</f>
        <v>55</v>
      </c>
      <c r="J190" s="153" t="n">
        <v>19.67</v>
      </c>
      <c r="K190" s="128" t="n">
        <f aca="false">J190*(1+$K$7)</f>
        <v>24.5875</v>
      </c>
      <c r="L190" s="128" t="n">
        <f aca="false">I190*K190</f>
        <v>1352.3125</v>
      </c>
    </row>
    <row r="191" customFormat="false" ht="25.5" hidden="false" customHeight="false" outlineLevel="0" collapsed="false">
      <c r="D191" s="137" t="s">
        <v>334</v>
      </c>
      <c r="E191" s="150" t="s">
        <v>14</v>
      </c>
      <c r="F191" s="150" t="n">
        <v>1960</v>
      </c>
      <c r="G191" s="151" t="s">
        <v>576</v>
      </c>
      <c r="H191" s="150" t="s">
        <v>287</v>
      </c>
      <c r="I191" s="152" t="n">
        <v>7</v>
      </c>
      <c r="J191" s="153" t="n">
        <v>69.14</v>
      </c>
      <c r="K191" s="128" t="n">
        <f aca="false">J191*(1+$K$7)</f>
        <v>86.425</v>
      </c>
      <c r="L191" s="128" t="n">
        <f aca="false">I191*K191</f>
        <v>604.975</v>
      </c>
    </row>
    <row r="192" customFormat="false" ht="15" hidden="false" customHeight="false" outlineLevel="0" collapsed="false">
      <c r="D192" s="137" t="s">
        <v>336</v>
      </c>
      <c r="E192" s="150" t="s">
        <v>14</v>
      </c>
      <c r="F192" s="150" t="n">
        <v>1925</v>
      </c>
      <c r="G192" s="151" t="s">
        <v>337</v>
      </c>
      <c r="H192" s="150" t="s">
        <v>240</v>
      </c>
      <c r="I192" s="152" t="n">
        <v>11</v>
      </c>
      <c r="J192" s="153" t="n">
        <v>48.63</v>
      </c>
      <c r="K192" s="128" t="n">
        <f aca="false">J192*(1+$K$7)</f>
        <v>60.7875</v>
      </c>
      <c r="L192" s="128" t="n">
        <f aca="false">I192*K192</f>
        <v>668.6625</v>
      </c>
    </row>
    <row r="193" customFormat="false" ht="15" hidden="false" customHeight="false" outlineLevel="0" collapsed="false">
      <c r="D193" s="137" t="s">
        <v>338</v>
      </c>
      <c r="E193" s="150" t="s">
        <v>14</v>
      </c>
      <c r="F193" s="150" t="n">
        <v>1970</v>
      </c>
      <c r="G193" s="151" t="s">
        <v>339</v>
      </c>
      <c r="H193" s="150" t="s">
        <v>240</v>
      </c>
      <c r="I193" s="152" t="n">
        <v>21</v>
      </c>
      <c r="J193" s="153" t="n">
        <v>56.21</v>
      </c>
      <c r="K193" s="128" t="n">
        <f aca="false">J193*(1+$K$7)</f>
        <v>70.2625</v>
      </c>
      <c r="L193" s="128" t="n">
        <f aca="false">I193*K193</f>
        <v>1475.5125</v>
      </c>
    </row>
    <row r="194" customFormat="false" ht="15" hidden="false" customHeight="false" outlineLevel="0" collapsed="false">
      <c r="D194" s="137" t="s">
        <v>340</v>
      </c>
      <c r="E194" s="150" t="s">
        <v>14</v>
      </c>
      <c r="F194" s="150" t="n">
        <v>1965</v>
      </c>
      <c r="G194" s="151" t="s">
        <v>341</v>
      </c>
      <c r="H194" s="150" t="s">
        <v>240</v>
      </c>
      <c r="I194" s="152" t="n">
        <v>24</v>
      </c>
      <c r="J194" s="153" t="n">
        <v>54.16</v>
      </c>
      <c r="K194" s="128" t="n">
        <f aca="false">J194*(1+$K$7)</f>
        <v>67.7</v>
      </c>
      <c r="L194" s="128" t="n">
        <f aca="false">I194*K194</f>
        <v>1624.8</v>
      </c>
    </row>
    <row r="195" customFormat="false" ht="38.45" hidden="false" customHeight="true" outlineLevel="0" collapsed="false">
      <c r="D195" s="137" t="s">
        <v>342</v>
      </c>
      <c r="E195" s="150" t="s">
        <v>14</v>
      </c>
      <c r="F195" s="150" t="n">
        <v>1368</v>
      </c>
      <c r="G195" s="151" t="s">
        <v>577</v>
      </c>
      <c r="H195" s="150" t="s">
        <v>240</v>
      </c>
      <c r="I195" s="152" t="n">
        <v>22</v>
      </c>
      <c r="J195" s="153" t="n">
        <v>66</v>
      </c>
      <c r="K195" s="128" t="n">
        <f aca="false">J195*(1+$K$7)</f>
        <v>82.5</v>
      </c>
      <c r="L195" s="128" t="n">
        <f aca="false">I195*K195</f>
        <v>1815</v>
      </c>
    </row>
    <row r="196" customFormat="false" ht="38.25" hidden="false" customHeight="false" outlineLevel="0" collapsed="false">
      <c r="D196" s="137" t="s">
        <v>344</v>
      </c>
      <c r="E196" s="156" t="s">
        <v>14</v>
      </c>
      <c r="F196" s="156" t="n">
        <v>1370</v>
      </c>
      <c r="G196" s="151" t="s">
        <v>345</v>
      </c>
      <c r="H196" s="150" t="s">
        <v>346</v>
      </c>
      <c r="I196" s="152" t="n">
        <v>20</v>
      </c>
      <c r="J196" s="153" t="n">
        <v>89.87</v>
      </c>
      <c r="K196" s="128" t="n">
        <f aca="false">J196*(1+$K$7)</f>
        <v>112.3375</v>
      </c>
      <c r="L196" s="128" t="n">
        <f aca="false">I196*K196</f>
        <v>2246.75</v>
      </c>
    </row>
    <row r="197" customFormat="false" ht="15" hidden="false" customHeight="false" outlineLevel="0" collapsed="false">
      <c r="D197" s="137" t="s">
        <v>347</v>
      </c>
      <c r="E197" s="150" t="s">
        <v>14</v>
      </c>
      <c r="F197" s="150" t="n">
        <v>10765</v>
      </c>
      <c r="G197" s="151" t="s">
        <v>348</v>
      </c>
      <c r="H197" s="150" t="s">
        <v>240</v>
      </c>
      <c r="I197" s="152" t="n">
        <v>22</v>
      </c>
      <c r="J197" s="153" t="n">
        <v>13.69</v>
      </c>
      <c r="K197" s="128" t="n">
        <f aca="false">J197*(1+$K$7)</f>
        <v>17.1125</v>
      </c>
      <c r="L197" s="128" t="n">
        <f aca="false">I197*K197</f>
        <v>376.475</v>
      </c>
    </row>
    <row r="198" customFormat="false" ht="15" hidden="false" customHeight="false" outlineLevel="0" collapsed="false">
      <c r="D198" s="137" t="s">
        <v>349</v>
      </c>
      <c r="E198" s="150" t="s">
        <v>14</v>
      </c>
      <c r="F198" s="150" t="n">
        <v>1966</v>
      </c>
      <c r="G198" s="151" t="s">
        <v>350</v>
      </c>
      <c r="H198" s="150" t="s">
        <v>240</v>
      </c>
      <c r="I198" s="152" t="n">
        <v>22</v>
      </c>
      <c r="J198" s="153" t="n">
        <v>26.71</v>
      </c>
      <c r="K198" s="128" t="n">
        <f aca="false">J198*(1+$K$7)</f>
        <v>33.3875</v>
      </c>
      <c r="L198" s="128" t="n">
        <f aca="false">I198*K198</f>
        <v>734.525</v>
      </c>
    </row>
    <row r="199" customFormat="false" ht="15" hidden="false" customHeight="false" outlineLevel="0" collapsed="false">
      <c r="D199" s="137" t="s">
        <v>351</v>
      </c>
      <c r="E199" s="150" t="s">
        <v>14</v>
      </c>
      <c r="F199" s="150" t="n">
        <v>89728</v>
      </c>
      <c r="G199" s="151" t="s">
        <v>352</v>
      </c>
      <c r="H199" s="150" t="s">
        <v>240</v>
      </c>
      <c r="I199" s="152" t="n">
        <v>45</v>
      </c>
      <c r="J199" s="153" t="n">
        <v>10.14</v>
      </c>
      <c r="K199" s="128" t="n">
        <f aca="false">J199*(1+$K$7)</f>
        <v>12.675</v>
      </c>
      <c r="L199" s="128" t="n">
        <f aca="false">I199*K199</f>
        <v>570.375</v>
      </c>
    </row>
    <row r="200" customFormat="false" ht="15" hidden="false" customHeight="false" outlineLevel="0" collapsed="false">
      <c r="D200" s="137" t="s">
        <v>353</v>
      </c>
      <c r="E200" s="150" t="s">
        <v>14</v>
      </c>
      <c r="F200" s="150" t="n">
        <v>89358</v>
      </c>
      <c r="G200" s="151" t="s">
        <v>354</v>
      </c>
      <c r="H200" s="150" t="s">
        <v>240</v>
      </c>
      <c r="I200" s="152" t="n">
        <v>1</v>
      </c>
      <c r="J200" s="153" t="n">
        <v>5.84</v>
      </c>
      <c r="K200" s="128" t="n">
        <f aca="false">J200*(1+$K$7)</f>
        <v>7.3</v>
      </c>
      <c r="L200" s="128" t="n">
        <f aca="false">I200*K200</f>
        <v>7.3</v>
      </c>
    </row>
    <row r="201" customFormat="false" ht="15" hidden="false" customHeight="false" outlineLevel="0" collapsed="false">
      <c r="D201" s="137" t="s">
        <v>355</v>
      </c>
      <c r="E201" s="150" t="s">
        <v>14</v>
      </c>
      <c r="F201" s="150" t="n">
        <v>20147</v>
      </c>
      <c r="G201" s="151" t="s">
        <v>356</v>
      </c>
      <c r="H201" s="150" t="s">
        <v>240</v>
      </c>
      <c r="I201" s="152" t="n">
        <v>44</v>
      </c>
      <c r="J201" s="153" t="n">
        <v>7.95</v>
      </c>
      <c r="K201" s="128" t="n">
        <f aca="false">J201*(1+$K$7)</f>
        <v>9.9375</v>
      </c>
      <c r="L201" s="128" t="n">
        <f aca="false">I201*K201</f>
        <v>437.25</v>
      </c>
    </row>
    <row r="202" customFormat="false" ht="15" hidden="false" customHeight="false" outlineLevel="0" collapsed="false">
      <c r="D202" s="137" t="s">
        <v>357</v>
      </c>
      <c r="E202" s="150" t="s">
        <v>14</v>
      </c>
      <c r="F202" s="150" t="n">
        <v>3489</v>
      </c>
      <c r="G202" s="151" t="s">
        <v>358</v>
      </c>
      <c r="H202" s="150" t="s">
        <v>240</v>
      </c>
      <c r="I202" s="152" t="n">
        <v>29</v>
      </c>
      <c r="J202" s="153" t="n">
        <v>17.33</v>
      </c>
      <c r="K202" s="128" t="n">
        <f aca="false">J202*(1+$K$7)</f>
        <v>21.6625</v>
      </c>
      <c r="L202" s="128" t="n">
        <f aca="false">I202*K202</f>
        <v>628.2125</v>
      </c>
    </row>
    <row r="203" customFormat="false" ht="15" hidden="false" customHeight="false" outlineLevel="0" collapsed="false">
      <c r="D203" s="137" t="s">
        <v>359</v>
      </c>
      <c r="E203" s="150" t="s">
        <v>14</v>
      </c>
      <c r="F203" s="150" t="n">
        <v>3481</v>
      </c>
      <c r="G203" s="151" t="s">
        <v>360</v>
      </c>
      <c r="H203" s="150" t="s">
        <v>240</v>
      </c>
      <c r="I203" s="152" t="n">
        <v>4</v>
      </c>
      <c r="J203" s="153" t="n">
        <v>18.77</v>
      </c>
      <c r="K203" s="128" t="n">
        <f aca="false">J203*(1+$K$7)</f>
        <v>23.4625</v>
      </c>
      <c r="L203" s="128" t="n">
        <f aca="false">I203*K203</f>
        <v>93.85</v>
      </c>
    </row>
    <row r="204" customFormat="false" ht="15" hidden="false" customHeight="false" outlineLevel="0" collapsed="false">
      <c r="D204" s="137" t="s">
        <v>361</v>
      </c>
      <c r="E204" s="150" t="s">
        <v>14</v>
      </c>
      <c r="F204" s="150" t="n">
        <v>3521</v>
      </c>
      <c r="G204" s="151" t="s">
        <v>362</v>
      </c>
      <c r="H204" s="150" t="s">
        <v>240</v>
      </c>
      <c r="I204" s="152" t="n">
        <v>4</v>
      </c>
      <c r="J204" s="153" t="n">
        <v>2.58</v>
      </c>
      <c r="K204" s="128" t="n">
        <f aca="false">J204*(1+$K$7)</f>
        <v>3.225</v>
      </c>
      <c r="L204" s="128" t="n">
        <f aca="false">I204*K204</f>
        <v>12.9</v>
      </c>
    </row>
    <row r="205" customFormat="false" ht="15" hidden="false" customHeight="false" outlineLevel="0" collapsed="false">
      <c r="D205" s="137" t="s">
        <v>363</v>
      </c>
      <c r="E205" s="150" t="s">
        <v>14</v>
      </c>
      <c r="F205" s="150" t="n">
        <v>38436</v>
      </c>
      <c r="G205" s="151" t="s">
        <v>364</v>
      </c>
      <c r="H205" s="150" t="s">
        <v>240</v>
      </c>
      <c r="I205" s="152" t="n">
        <v>28</v>
      </c>
      <c r="J205" s="153" t="n">
        <v>10.56</v>
      </c>
      <c r="K205" s="128" t="n">
        <f aca="false">J205*(1+$K$7)</f>
        <v>13.2</v>
      </c>
      <c r="L205" s="128" t="n">
        <f aca="false">I205*K205</f>
        <v>369.6</v>
      </c>
    </row>
    <row r="206" customFormat="false" ht="25.5" hidden="false" customHeight="false" outlineLevel="0" collapsed="false">
      <c r="D206" s="137" t="s">
        <v>365</v>
      </c>
      <c r="E206" s="150" t="s">
        <v>14</v>
      </c>
      <c r="F206" s="150" t="n">
        <v>3481</v>
      </c>
      <c r="G206" s="151" t="s">
        <v>366</v>
      </c>
      <c r="H206" s="150" t="s">
        <v>240</v>
      </c>
      <c r="I206" s="152" t="n">
        <v>40</v>
      </c>
      <c r="J206" s="153" t="n">
        <v>18.77</v>
      </c>
      <c r="K206" s="128" t="n">
        <f aca="false">J206*(1+$K$7)</f>
        <v>23.4625</v>
      </c>
      <c r="L206" s="128" t="n">
        <f aca="false">I206*K206</f>
        <v>938.5</v>
      </c>
    </row>
    <row r="207" customFormat="false" ht="15" hidden="false" customHeight="false" outlineLevel="0" collapsed="false">
      <c r="D207" s="137" t="s">
        <v>367</v>
      </c>
      <c r="E207" s="150" t="s">
        <v>14</v>
      </c>
      <c r="F207" s="150" t="n">
        <v>7138</v>
      </c>
      <c r="G207" s="151" t="s">
        <v>368</v>
      </c>
      <c r="H207" s="150" t="s">
        <v>240</v>
      </c>
      <c r="I207" s="152" t="n">
        <v>2</v>
      </c>
      <c r="J207" s="153" t="n">
        <v>1.23</v>
      </c>
      <c r="K207" s="128" t="n">
        <f aca="false">J207*(1+$K$7)</f>
        <v>1.5375</v>
      </c>
      <c r="L207" s="128" t="n">
        <f aca="false">I207*K207</f>
        <v>3.075</v>
      </c>
    </row>
    <row r="208" customFormat="false" ht="15" hidden="false" customHeight="false" outlineLevel="0" collapsed="false">
      <c r="D208" s="137" t="s">
        <v>369</v>
      </c>
      <c r="E208" s="150" t="s">
        <v>14</v>
      </c>
      <c r="F208" s="150" t="n">
        <v>7139</v>
      </c>
      <c r="G208" s="151" t="s">
        <v>370</v>
      </c>
      <c r="H208" s="150" t="s">
        <v>240</v>
      </c>
      <c r="I208" s="152" t="n">
        <v>3</v>
      </c>
      <c r="J208" s="153" t="n">
        <v>1.61</v>
      </c>
      <c r="K208" s="128" t="n">
        <f aca="false">J208*(1+$K$7)</f>
        <v>2.0125</v>
      </c>
      <c r="L208" s="128" t="n">
        <f aca="false">I208*K208</f>
        <v>6.0375</v>
      </c>
    </row>
    <row r="209" customFormat="false" ht="15" hidden="false" customHeight="false" outlineLevel="0" collapsed="false">
      <c r="D209" s="137" t="s">
        <v>371</v>
      </c>
      <c r="E209" s="150" t="s">
        <v>14</v>
      </c>
      <c r="F209" s="150" t="n">
        <v>7142</v>
      </c>
      <c r="G209" s="151" t="s">
        <v>372</v>
      </c>
      <c r="H209" s="150" t="s">
        <v>240</v>
      </c>
      <c r="I209" s="152" t="n">
        <v>3</v>
      </c>
      <c r="J209" s="153" t="n">
        <v>13.14</v>
      </c>
      <c r="K209" s="128" t="n">
        <f aca="false">J209*(1+$K$7)</f>
        <v>16.425</v>
      </c>
      <c r="L209" s="128" t="n">
        <f aca="false">I209*K209</f>
        <v>49.275</v>
      </c>
    </row>
    <row r="210" customFormat="false" ht="15" hidden="false" customHeight="false" outlineLevel="0" collapsed="false">
      <c r="D210" s="137" t="s">
        <v>373</v>
      </c>
      <c r="E210" s="150" t="s">
        <v>14</v>
      </c>
      <c r="F210" s="150" t="n">
        <v>7143</v>
      </c>
      <c r="G210" s="151" t="s">
        <v>374</v>
      </c>
      <c r="H210" s="150" t="s">
        <v>240</v>
      </c>
      <c r="I210" s="152" t="n">
        <v>26</v>
      </c>
      <c r="J210" s="153" t="n">
        <v>39.16</v>
      </c>
      <c r="K210" s="128" t="n">
        <f aca="false">J210*(1+$K$7)</f>
        <v>48.95</v>
      </c>
      <c r="L210" s="128" t="n">
        <f aca="false">I210*K210</f>
        <v>1272.7</v>
      </c>
    </row>
    <row r="211" customFormat="false" ht="15" hidden="false" customHeight="false" outlineLevel="0" collapsed="false">
      <c r="D211" s="137" t="s">
        <v>375</v>
      </c>
      <c r="E211" s="150" t="s">
        <v>14</v>
      </c>
      <c r="F211" s="150" t="n">
        <v>7144</v>
      </c>
      <c r="G211" s="151" t="s">
        <v>376</v>
      </c>
      <c r="H211" s="150" t="s">
        <v>240</v>
      </c>
      <c r="I211" s="152" t="n">
        <v>3</v>
      </c>
      <c r="J211" s="153" t="n">
        <v>78.34</v>
      </c>
      <c r="K211" s="128" t="n">
        <f aca="false">J211*(1+$K$7)</f>
        <v>97.925</v>
      </c>
      <c r="L211" s="128" t="n">
        <f aca="false">I211*K211</f>
        <v>293.775</v>
      </c>
    </row>
    <row r="212" customFormat="false" ht="15" hidden="false" customHeight="false" outlineLevel="0" collapsed="false">
      <c r="D212" s="137" t="s">
        <v>377</v>
      </c>
      <c r="E212" s="150" t="s">
        <v>14</v>
      </c>
      <c r="F212" s="150" t="n">
        <v>7122</v>
      </c>
      <c r="G212" s="151" t="s">
        <v>378</v>
      </c>
      <c r="H212" s="150" t="s">
        <v>240</v>
      </c>
      <c r="I212" s="152" t="n">
        <v>5</v>
      </c>
      <c r="J212" s="153" t="n">
        <v>14.3</v>
      </c>
      <c r="K212" s="128" t="n">
        <f aca="false">J212*(1+$K$7)</f>
        <v>17.875</v>
      </c>
      <c r="L212" s="128" t="n">
        <f aca="false">I212*K212</f>
        <v>89.375</v>
      </c>
    </row>
    <row r="213" customFormat="false" ht="15" hidden="false" customHeight="false" outlineLevel="0" collapsed="false">
      <c r="D213" s="137" t="s">
        <v>379</v>
      </c>
      <c r="E213" s="150" t="s">
        <v>14</v>
      </c>
      <c r="F213" s="150" t="n">
        <v>7137</v>
      </c>
      <c r="G213" s="151" t="s">
        <v>380</v>
      </c>
      <c r="H213" s="150" t="s">
        <v>240</v>
      </c>
      <c r="I213" s="152" t="n">
        <v>10</v>
      </c>
      <c r="J213" s="153" t="n">
        <v>11.44</v>
      </c>
      <c r="K213" s="128" t="n">
        <f aca="false">J213*(1+$K$7)</f>
        <v>14.3</v>
      </c>
      <c r="L213" s="128" t="n">
        <f aca="false">I213*K213</f>
        <v>143</v>
      </c>
    </row>
    <row r="214" customFormat="false" ht="15" hidden="false" customHeight="false" outlineLevel="0" collapsed="false">
      <c r="D214" s="137" t="s">
        <v>381</v>
      </c>
      <c r="E214" s="150" t="s">
        <v>14</v>
      </c>
      <c r="F214" s="150" t="n">
        <v>7129</v>
      </c>
      <c r="G214" s="151" t="s">
        <v>382</v>
      </c>
      <c r="H214" s="150" t="s">
        <v>240</v>
      </c>
      <c r="I214" s="152" t="n">
        <v>31</v>
      </c>
      <c r="J214" s="153" t="n">
        <v>11.62</v>
      </c>
      <c r="K214" s="128" t="n">
        <f aca="false">J214*(1+$K$7)</f>
        <v>14.525</v>
      </c>
      <c r="L214" s="128" t="n">
        <f aca="false">I214*K214</f>
        <v>450.275</v>
      </c>
    </row>
    <row r="215" customFormat="false" ht="15" hidden="false" customHeight="false" outlineLevel="0" collapsed="false">
      <c r="D215" s="137" t="s">
        <v>383</v>
      </c>
      <c r="E215" s="150" t="s">
        <v>14</v>
      </c>
      <c r="F215" s="150" t="n">
        <v>7132</v>
      </c>
      <c r="G215" s="151" t="s">
        <v>384</v>
      </c>
      <c r="H215" s="150" t="s">
        <v>240</v>
      </c>
      <c r="I215" s="152" t="n">
        <v>5</v>
      </c>
      <c r="J215" s="153" t="n">
        <v>64.57</v>
      </c>
      <c r="K215" s="128" t="n">
        <f aca="false">J215*(1+$K$7)</f>
        <v>80.7125</v>
      </c>
      <c r="L215" s="128" t="n">
        <f aca="false">I215*K215</f>
        <v>403.5625</v>
      </c>
    </row>
    <row r="216" customFormat="false" ht="15" hidden="false" customHeight="false" outlineLevel="0" collapsed="false">
      <c r="D216" s="137" t="s">
        <v>385</v>
      </c>
      <c r="E216" s="150" t="s">
        <v>14</v>
      </c>
      <c r="F216" s="150" t="n">
        <v>7097</v>
      </c>
      <c r="G216" s="151" t="s">
        <v>386</v>
      </c>
      <c r="H216" s="150" t="s">
        <v>240</v>
      </c>
      <c r="I216" s="152" t="n">
        <v>18</v>
      </c>
      <c r="J216" s="153" t="n">
        <v>8.61</v>
      </c>
      <c r="K216" s="128" t="n">
        <f aca="false">J216*(1+$K$7)</f>
        <v>10.7625</v>
      </c>
      <c r="L216" s="128" t="n">
        <f aca="false">I216*K216</f>
        <v>193.725</v>
      </c>
    </row>
    <row r="217" customFormat="false" ht="15" hidden="false" customHeight="false" outlineLevel="0" collapsed="false">
      <c r="D217" s="137" t="s">
        <v>387</v>
      </c>
      <c r="E217" s="150" t="s">
        <v>14</v>
      </c>
      <c r="F217" s="150" t="n">
        <v>813</v>
      </c>
      <c r="G217" s="151" t="s">
        <v>388</v>
      </c>
      <c r="H217" s="150" t="s">
        <v>240</v>
      </c>
      <c r="I217" s="152" t="n">
        <v>23</v>
      </c>
      <c r="J217" s="152" t="n">
        <v>5.42</v>
      </c>
      <c r="K217" s="128" t="n">
        <f aca="false">J217*(1+$K$7)</f>
        <v>6.775</v>
      </c>
      <c r="L217" s="128" t="n">
        <f aca="false">I217*K217</f>
        <v>155.825</v>
      </c>
    </row>
    <row r="218" customFormat="false" ht="15" hidden="false" customHeight="false" outlineLevel="0" collapsed="false">
      <c r="D218" s="137" t="s">
        <v>389</v>
      </c>
      <c r="E218" s="150" t="s">
        <v>14</v>
      </c>
      <c r="F218" s="150" t="n">
        <v>822</v>
      </c>
      <c r="G218" s="151" t="s">
        <v>390</v>
      </c>
      <c r="H218" s="150" t="s">
        <v>240</v>
      </c>
      <c r="I218" s="152" t="n">
        <v>22</v>
      </c>
      <c r="J218" s="153" t="n">
        <v>18.63</v>
      </c>
      <c r="K218" s="128" t="n">
        <f aca="false">J218*(1+$K$7)</f>
        <v>23.2875</v>
      </c>
      <c r="L218" s="128" t="n">
        <f aca="false">I218*K218</f>
        <v>512.325</v>
      </c>
    </row>
    <row r="219" customFormat="false" ht="15" hidden="false" customHeight="false" outlineLevel="0" collapsed="false">
      <c r="D219" s="137" t="s">
        <v>391</v>
      </c>
      <c r="E219" s="150" t="s">
        <v>14</v>
      </c>
      <c r="F219" s="150" t="n">
        <v>818</v>
      </c>
      <c r="G219" s="151" t="s">
        <v>392</v>
      </c>
      <c r="H219" s="150" t="s">
        <v>240</v>
      </c>
      <c r="I219" s="152" t="n">
        <v>15</v>
      </c>
      <c r="J219" s="153" t="n">
        <v>7.05</v>
      </c>
      <c r="K219" s="128" t="n">
        <f aca="false">J219*(1+$K$7)</f>
        <v>8.8125</v>
      </c>
      <c r="L219" s="128" t="n">
        <f aca="false">I219*K219</f>
        <v>132.1875</v>
      </c>
    </row>
    <row r="220" customFormat="false" ht="15" hidden="false" customHeight="false" outlineLevel="0" collapsed="false">
      <c r="D220" s="137" t="s">
        <v>393</v>
      </c>
      <c r="E220" s="150" t="s">
        <v>14</v>
      </c>
      <c r="F220" s="150" t="n">
        <v>823</v>
      </c>
      <c r="G220" s="151" t="s">
        <v>394</v>
      </c>
      <c r="H220" s="150" t="s">
        <v>240</v>
      </c>
      <c r="I220" s="152" t="n">
        <v>6</v>
      </c>
      <c r="J220" s="153" t="n">
        <v>21.23</v>
      </c>
      <c r="K220" s="128" t="n">
        <f aca="false">J220*(1+$K$7)</f>
        <v>26.5375</v>
      </c>
      <c r="L220" s="128" t="n">
        <f aca="false">I220*K220</f>
        <v>159.225</v>
      </c>
    </row>
    <row r="221" customFormat="false" ht="25.5" hidden="false" customHeight="false" outlineLevel="0" collapsed="false">
      <c r="D221" s="137" t="s">
        <v>395</v>
      </c>
      <c r="E221" s="150" t="s">
        <v>14</v>
      </c>
      <c r="F221" s="150" t="n">
        <v>3659</v>
      </c>
      <c r="G221" s="151" t="s">
        <v>396</v>
      </c>
      <c r="H221" s="150" t="s">
        <v>240</v>
      </c>
      <c r="I221" s="152" t="n">
        <v>29</v>
      </c>
      <c r="J221" s="153" t="n">
        <v>19.73</v>
      </c>
      <c r="K221" s="128" t="n">
        <f aca="false">J221*(1+$K$7)</f>
        <v>24.6625</v>
      </c>
      <c r="L221" s="128" t="n">
        <f aca="false">I221*K221</f>
        <v>715.2125</v>
      </c>
    </row>
    <row r="222" customFormat="false" ht="25.5" hidden="false" customHeight="false" outlineLevel="0" collapsed="false">
      <c r="D222" s="137" t="s">
        <v>397</v>
      </c>
      <c r="E222" s="150" t="s">
        <v>14</v>
      </c>
      <c r="F222" s="150" t="n">
        <v>20144</v>
      </c>
      <c r="G222" s="151" t="s">
        <v>398</v>
      </c>
      <c r="H222" s="150" t="s">
        <v>240</v>
      </c>
      <c r="I222" s="152" t="n">
        <v>14</v>
      </c>
      <c r="J222" s="153" t="n">
        <v>71.18</v>
      </c>
      <c r="K222" s="128" t="n">
        <f aca="false">J222*(1+$K$7)</f>
        <v>88.975</v>
      </c>
      <c r="L222" s="128" t="n">
        <f aca="false">I222*K222</f>
        <v>1245.65</v>
      </c>
    </row>
    <row r="223" customFormat="false" ht="25.5" hidden="false" customHeight="false" outlineLevel="0" collapsed="false">
      <c r="D223" s="137" t="s">
        <v>399</v>
      </c>
      <c r="E223" s="150" t="s">
        <v>14</v>
      </c>
      <c r="F223" s="150" t="n">
        <v>3662</v>
      </c>
      <c r="G223" s="151" t="s">
        <v>400</v>
      </c>
      <c r="H223" s="150" t="s">
        <v>240</v>
      </c>
      <c r="I223" s="152" t="n">
        <v>2</v>
      </c>
      <c r="J223" s="153" t="n">
        <v>10.74</v>
      </c>
      <c r="K223" s="128" t="n">
        <f aca="false">J223*(1+$K$7)</f>
        <v>13.425</v>
      </c>
      <c r="L223" s="128" t="n">
        <f aca="false">I223*K223</f>
        <v>26.85</v>
      </c>
    </row>
    <row r="224" customFormat="false" ht="25.5" hidden="false" customHeight="false" outlineLevel="0" collapsed="false">
      <c r="D224" s="137" t="s">
        <v>401</v>
      </c>
      <c r="E224" s="150" t="s">
        <v>14</v>
      </c>
      <c r="F224" s="150" t="n">
        <v>3661</v>
      </c>
      <c r="G224" s="151" t="s">
        <v>402</v>
      </c>
      <c r="H224" s="150" t="s">
        <v>240</v>
      </c>
      <c r="I224" s="152" t="n">
        <v>2</v>
      </c>
      <c r="J224" s="153" t="n">
        <v>15.81</v>
      </c>
      <c r="K224" s="128" t="n">
        <f aca="false">J224*(1+$K$7)</f>
        <v>19.7625</v>
      </c>
      <c r="L224" s="128" t="n">
        <f aca="false">I224*K224</f>
        <v>39.525</v>
      </c>
    </row>
    <row r="225" customFormat="false" ht="25.5" hidden="false" customHeight="false" outlineLevel="0" collapsed="false">
      <c r="D225" s="137" t="s">
        <v>403</v>
      </c>
      <c r="E225" s="150" t="s">
        <v>14</v>
      </c>
      <c r="F225" s="150" t="n">
        <v>3658</v>
      </c>
      <c r="G225" s="151" t="s">
        <v>404</v>
      </c>
      <c r="H225" s="150" t="s">
        <v>240</v>
      </c>
      <c r="I225" s="152" t="n">
        <v>1</v>
      </c>
      <c r="J225" s="153" t="n">
        <v>20.12</v>
      </c>
      <c r="K225" s="128" t="n">
        <f aca="false">J225*(1+$K$7)</f>
        <v>25.15</v>
      </c>
      <c r="L225" s="128" t="n">
        <f aca="false">I225*K225</f>
        <v>25.15</v>
      </c>
    </row>
    <row r="226" customFormat="false" ht="15" hidden="false" customHeight="false" outlineLevel="0" collapsed="false">
      <c r="D226" s="137" t="s">
        <v>405</v>
      </c>
      <c r="E226" s="150" t="s">
        <v>14</v>
      </c>
      <c r="F226" s="150" t="n">
        <v>3497</v>
      </c>
      <c r="G226" s="151" t="s">
        <v>406</v>
      </c>
      <c r="H226" s="150" t="s">
        <v>240</v>
      </c>
      <c r="I226" s="152" t="n">
        <v>2</v>
      </c>
      <c r="J226" s="153" t="n">
        <v>19.1</v>
      </c>
      <c r="K226" s="128" t="n">
        <f aca="false">J226*(1+$K$7)</f>
        <v>23.875</v>
      </c>
      <c r="L226" s="128" t="n">
        <f aca="false">I226*K226</f>
        <v>47.75</v>
      </c>
    </row>
    <row r="227" customFormat="false" ht="15" hidden="false" customHeight="false" outlineLevel="0" collapsed="false">
      <c r="D227" s="137" t="s">
        <v>407</v>
      </c>
      <c r="E227" s="150" t="s">
        <v>14</v>
      </c>
      <c r="F227" s="150" t="n">
        <v>3906</v>
      </c>
      <c r="G227" s="151" t="s">
        <v>408</v>
      </c>
      <c r="H227" s="150" t="s">
        <v>240</v>
      </c>
      <c r="I227" s="152" t="n">
        <v>23</v>
      </c>
      <c r="J227" s="153" t="n">
        <v>2.12</v>
      </c>
      <c r="K227" s="128" t="n">
        <f aca="false">J227*(1+$K$7)</f>
        <v>2.65</v>
      </c>
      <c r="L227" s="128" t="n">
        <f aca="false">I227*K227</f>
        <v>60.95</v>
      </c>
    </row>
    <row r="228" customFormat="false" ht="25.5" hidden="false" customHeight="false" outlineLevel="0" collapsed="false">
      <c r="D228" s="137" t="s">
        <v>409</v>
      </c>
      <c r="E228" s="150" t="s">
        <v>14</v>
      </c>
      <c r="F228" s="150" t="n">
        <v>11772</v>
      </c>
      <c r="G228" s="151" t="s">
        <v>410</v>
      </c>
      <c r="H228" s="150" t="s">
        <v>240</v>
      </c>
      <c r="I228" s="152" t="n">
        <v>4</v>
      </c>
      <c r="J228" s="153" t="n">
        <v>112.91</v>
      </c>
      <c r="K228" s="128" t="n">
        <f aca="false">J228*(1+$K$7)</f>
        <v>141.1375</v>
      </c>
      <c r="L228" s="128" t="n">
        <f aca="false">I228*K228</f>
        <v>564.55</v>
      </c>
    </row>
    <row r="229" customFormat="false" ht="15" hidden="false" customHeight="false" outlineLevel="0" collapsed="false">
      <c r="D229" s="137" t="s">
        <v>411</v>
      </c>
      <c r="E229" s="150" t="s">
        <v>14</v>
      </c>
      <c r="F229" s="150" t="n">
        <v>11762</v>
      </c>
      <c r="G229" s="151" t="s">
        <v>412</v>
      </c>
      <c r="H229" s="150" t="s">
        <v>240</v>
      </c>
      <c r="I229" s="152" t="n">
        <v>9</v>
      </c>
      <c r="J229" s="153" t="n">
        <v>66.53</v>
      </c>
      <c r="K229" s="128" t="n">
        <f aca="false">J229*(1+$K$7)</f>
        <v>83.1625</v>
      </c>
      <c r="L229" s="128" t="n">
        <f aca="false">I229*K229</f>
        <v>748.4625</v>
      </c>
    </row>
    <row r="230" customFormat="false" ht="25.5" hidden="false" customHeight="false" outlineLevel="0" collapsed="false">
      <c r="D230" s="137" t="s">
        <v>413</v>
      </c>
      <c r="E230" s="150" t="s">
        <v>14</v>
      </c>
      <c r="F230" s="150" t="n">
        <v>13984</v>
      </c>
      <c r="G230" s="151" t="s">
        <v>414</v>
      </c>
      <c r="H230" s="150" t="s">
        <v>240</v>
      </c>
      <c r="I230" s="152" t="n">
        <v>34</v>
      </c>
      <c r="J230" s="153" t="n">
        <v>46.49</v>
      </c>
      <c r="K230" s="128" t="n">
        <f aca="false">J230*(1+$K$7)</f>
        <v>58.1125</v>
      </c>
      <c r="L230" s="128" t="n">
        <f aca="false">I230*K230</f>
        <v>1975.825</v>
      </c>
    </row>
    <row r="231" customFormat="false" ht="89.25" hidden="false" customHeight="false" outlineLevel="0" collapsed="false">
      <c r="D231" s="137" t="s">
        <v>415</v>
      </c>
      <c r="E231" s="150" t="s">
        <v>34</v>
      </c>
      <c r="F231" s="150" t="s">
        <v>416</v>
      </c>
      <c r="G231" s="151" t="s">
        <v>417</v>
      </c>
      <c r="H231" s="150" t="s">
        <v>240</v>
      </c>
      <c r="I231" s="152" t="n">
        <v>4</v>
      </c>
      <c r="J231" s="153" t="n">
        <v>596.92</v>
      </c>
      <c r="K231" s="128" t="n">
        <f aca="false">J231*(1+$K$7)</f>
        <v>746.15</v>
      </c>
      <c r="L231" s="128" t="n">
        <f aca="false">I231*K231</f>
        <v>2984.6</v>
      </c>
    </row>
    <row r="232" customFormat="false" ht="15" hidden="false" customHeight="false" outlineLevel="0" collapsed="false">
      <c r="D232" s="130" t="s">
        <v>569</v>
      </c>
      <c r="E232" s="130"/>
      <c r="F232" s="130"/>
      <c r="G232" s="130"/>
      <c r="H232" s="130"/>
      <c r="I232" s="130"/>
      <c r="J232" s="130"/>
      <c r="K232" s="130"/>
      <c r="L232" s="131" t="n">
        <f aca="false">SUM(L153:L231)</f>
        <v>91217.79475</v>
      </c>
    </row>
    <row r="233" customFormat="false" ht="15" hidden="false" customHeight="false" outlineLevel="0" collapsed="false">
      <c r="D233" s="123" t="n">
        <v>2</v>
      </c>
      <c r="E233" s="123"/>
      <c r="F233" s="123"/>
      <c r="G233" s="124" t="s">
        <v>418</v>
      </c>
      <c r="H233" s="123"/>
      <c r="I233" s="123"/>
      <c r="J233" s="123"/>
      <c r="K233" s="123"/>
      <c r="L233" s="123"/>
    </row>
    <row r="234" customFormat="false" ht="15" hidden="false" customHeight="false" outlineLevel="0" collapsed="false">
      <c r="D234" s="137" t="s">
        <v>28</v>
      </c>
      <c r="E234" s="150" t="s">
        <v>14</v>
      </c>
      <c r="F234" s="157" t="s">
        <v>419</v>
      </c>
      <c r="G234" s="151" t="s">
        <v>420</v>
      </c>
      <c r="H234" s="150" t="s">
        <v>240</v>
      </c>
      <c r="I234" s="152" t="n">
        <v>10</v>
      </c>
      <c r="J234" s="153" t="n">
        <v>24.74</v>
      </c>
      <c r="K234" s="128" t="n">
        <f aca="false">J234*(1+$K$7)</f>
        <v>30.925</v>
      </c>
      <c r="L234" s="128" t="n">
        <f aca="false">I234*K234</f>
        <v>309.25</v>
      </c>
    </row>
    <row r="235" customFormat="false" ht="15" hidden="false" customHeight="false" outlineLevel="0" collapsed="false">
      <c r="D235" s="137" t="s">
        <v>117</v>
      </c>
      <c r="E235" s="150" t="s">
        <v>34</v>
      </c>
      <c r="F235" s="157" t="s">
        <v>421</v>
      </c>
      <c r="G235" s="151" t="s">
        <v>422</v>
      </c>
      <c r="H235" s="150" t="s">
        <v>240</v>
      </c>
      <c r="I235" s="152" t="n">
        <v>6</v>
      </c>
      <c r="J235" s="153" t="n">
        <v>19.27</v>
      </c>
      <c r="K235" s="128" t="n">
        <f aca="false">J235*(1+$K$7)</f>
        <v>24.0875</v>
      </c>
      <c r="L235" s="128" t="n">
        <f aca="false">I235*K235</f>
        <v>144.525</v>
      </c>
    </row>
    <row r="236" customFormat="false" ht="15" hidden="false" customHeight="false" outlineLevel="0" collapsed="false">
      <c r="D236" s="137" t="s">
        <v>121</v>
      </c>
      <c r="E236" s="150" t="s">
        <v>34</v>
      </c>
      <c r="F236" s="157" t="s">
        <v>423</v>
      </c>
      <c r="G236" s="151" t="s">
        <v>424</v>
      </c>
      <c r="H236" s="150" t="s">
        <v>240</v>
      </c>
      <c r="I236" s="152" t="n">
        <v>12</v>
      </c>
      <c r="J236" s="153" t="n">
        <v>19.27</v>
      </c>
      <c r="K236" s="128" t="n">
        <f aca="false">J236*(1+$K$7)</f>
        <v>24.0875</v>
      </c>
      <c r="L236" s="128" t="n">
        <f aca="false">I236*K236</f>
        <v>289.05</v>
      </c>
    </row>
    <row r="237" customFormat="false" ht="15" hidden="false" customHeight="false" outlineLevel="0" collapsed="false">
      <c r="D237" s="137" t="s">
        <v>124</v>
      </c>
      <c r="E237" s="150" t="s">
        <v>578</v>
      </c>
      <c r="F237" s="157" t="s">
        <v>425</v>
      </c>
      <c r="G237" s="151" t="s">
        <v>426</v>
      </c>
      <c r="H237" s="150" t="s">
        <v>240</v>
      </c>
      <c r="I237" s="152" t="n">
        <v>33</v>
      </c>
      <c r="J237" s="153" t="n">
        <v>41.76</v>
      </c>
      <c r="K237" s="128" t="n">
        <f aca="false">J237*(1+$K$7)</f>
        <v>52.2</v>
      </c>
      <c r="L237" s="128" t="n">
        <f aca="false">I237*K237</f>
        <v>1722.6</v>
      </c>
    </row>
    <row r="238" customFormat="false" ht="30" hidden="false" customHeight="false" outlineLevel="0" collapsed="false">
      <c r="D238" s="137" t="s">
        <v>427</v>
      </c>
      <c r="E238" s="150" t="s">
        <v>34</v>
      </c>
      <c r="F238" s="157" t="s">
        <v>428</v>
      </c>
      <c r="G238" s="139" t="s">
        <v>429</v>
      </c>
      <c r="H238" s="150" t="s">
        <v>240</v>
      </c>
      <c r="I238" s="152" t="n">
        <v>7</v>
      </c>
      <c r="J238" s="153" t="n">
        <v>142.65</v>
      </c>
      <c r="K238" s="128" t="n">
        <f aca="false">J238*(1+$K$7)</f>
        <v>178.3125</v>
      </c>
      <c r="L238" s="128" t="n">
        <f aca="false">I238*K238</f>
        <v>1248.1875</v>
      </c>
    </row>
    <row r="239" customFormat="false" ht="25.5" hidden="false" customHeight="false" outlineLevel="0" collapsed="false">
      <c r="D239" s="137" t="s">
        <v>430</v>
      </c>
      <c r="E239" s="150" t="s">
        <v>578</v>
      </c>
      <c r="F239" s="157" t="s">
        <v>431</v>
      </c>
      <c r="G239" s="151" t="s">
        <v>579</v>
      </c>
      <c r="H239" s="150" t="s">
        <v>240</v>
      </c>
      <c r="I239" s="152" t="n">
        <v>3</v>
      </c>
      <c r="J239" s="153" t="n">
        <v>149.76</v>
      </c>
      <c r="K239" s="128" t="n">
        <f aca="false">J239*(1+$K$7)</f>
        <v>187.2</v>
      </c>
      <c r="L239" s="128" t="n">
        <f aca="false">I239*K239</f>
        <v>561.6</v>
      </c>
    </row>
    <row r="240" customFormat="false" ht="15" hidden="false" customHeight="false" outlineLevel="0" collapsed="false">
      <c r="D240" s="137" t="s">
        <v>433</v>
      </c>
      <c r="E240" s="150" t="s">
        <v>14</v>
      </c>
      <c r="F240" s="157" t="s">
        <v>434</v>
      </c>
      <c r="G240" s="151" t="s">
        <v>435</v>
      </c>
      <c r="H240" s="150" t="s">
        <v>240</v>
      </c>
      <c r="I240" s="152" t="n">
        <v>4</v>
      </c>
      <c r="J240" s="153" t="n">
        <v>537.46</v>
      </c>
      <c r="K240" s="128" t="n">
        <f aca="false">J240*(1+$K$7)</f>
        <v>671.825</v>
      </c>
      <c r="L240" s="128" t="n">
        <f aca="false">I240*K240</f>
        <v>2687.3</v>
      </c>
    </row>
    <row r="241" customFormat="false" ht="25.5" hidden="false" customHeight="false" outlineLevel="0" collapsed="false">
      <c r="D241" s="137" t="s">
        <v>436</v>
      </c>
      <c r="E241" s="150" t="s">
        <v>34</v>
      </c>
      <c r="F241" s="157" t="s">
        <v>437</v>
      </c>
      <c r="G241" s="151" t="s">
        <v>438</v>
      </c>
      <c r="H241" s="150" t="s">
        <v>240</v>
      </c>
      <c r="I241" s="152" t="n">
        <v>1</v>
      </c>
      <c r="J241" s="153" t="n">
        <v>109.73</v>
      </c>
      <c r="K241" s="128" t="n">
        <f aca="false">J241*(1+$K$7)</f>
        <v>137.1625</v>
      </c>
      <c r="L241" s="128" t="n">
        <f aca="false">I241*K241</f>
        <v>137.1625</v>
      </c>
    </row>
    <row r="242" customFormat="false" ht="15" hidden="false" customHeight="false" outlineLevel="0" collapsed="false">
      <c r="D242" s="137" t="s">
        <v>439</v>
      </c>
      <c r="E242" s="150" t="s">
        <v>34</v>
      </c>
      <c r="F242" s="157" t="s">
        <v>440</v>
      </c>
      <c r="G242" s="151" t="s">
        <v>441</v>
      </c>
      <c r="H242" s="150" t="s">
        <v>240</v>
      </c>
      <c r="I242" s="152" t="n">
        <v>1</v>
      </c>
      <c r="J242" s="153" t="n">
        <v>429.99</v>
      </c>
      <c r="K242" s="128" t="n">
        <f aca="false">J242*(1+$K$7)</f>
        <v>537.4875</v>
      </c>
      <c r="L242" s="128" t="n">
        <f aca="false">I242*K242</f>
        <v>537.4875</v>
      </c>
    </row>
    <row r="243" customFormat="false" ht="15" hidden="false" customHeight="false" outlineLevel="0" collapsed="false">
      <c r="D243" s="137" t="s">
        <v>442</v>
      </c>
      <c r="E243" s="158" t="s">
        <v>34</v>
      </c>
      <c r="F243" s="159" t="s">
        <v>443</v>
      </c>
      <c r="G243" s="160" t="s">
        <v>444</v>
      </c>
      <c r="H243" s="158" t="s">
        <v>240</v>
      </c>
      <c r="I243" s="161" t="n">
        <v>1</v>
      </c>
      <c r="J243" s="162" t="n">
        <v>54.85</v>
      </c>
      <c r="K243" s="128" t="n">
        <f aca="false">J243*(1+$K$7)</f>
        <v>68.5625</v>
      </c>
      <c r="L243" s="128" t="n">
        <f aca="false">I243*K243</f>
        <v>68.5625</v>
      </c>
    </row>
    <row r="244" customFormat="false" ht="25.5" hidden="false" customHeight="false" outlineLevel="0" collapsed="false">
      <c r="D244" s="137" t="s">
        <v>445</v>
      </c>
      <c r="E244" s="158" t="s">
        <v>34</v>
      </c>
      <c r="F244" s="159" t="s">
        <v>446</v>
      </c>
      <c r="G244" s="160" t="s">
        <v>447</v>
      </c>
      <c r="H244" s="158" t="s">
        <v>240</v>
      </c>
      <c r="I244" s="161" t="n">
        <v>4</v>
      </c>
      <c r="J244" s="162" t="n">
        <v>15.25</v>
      </c>
      <c r="K244" s="128" t="n">
        <f aca="false">J244*(1+$K$7)</f>
        <v>19.0625</v>
      </c>
      <c r="L244" s="128" t="n">
        <f aca="false">I244*K244</f>
        <v>76.25</v>
      </c>
    </row>
    <row r="245" customFormat="false" ht="15" hidden="false" customHeight="false" outlineLevel="0" collapsed="false">
      <c r="D245" s="130" t="s">
        <v>569</v>
      </c>
      <c r="E245" s="130"/>
      <c r="F245" s="130"/>
      <c r="G245" s="130"/>
      <c r="H245" s="130"/>
      <c r="I245" s="130"/>
      <c r="J245" s="130"/>
      <c r="K245" s="130"/>
      <c r="L245" s="131" t="n">
        <f aca="false">SUM(L234:L244)</f>
        <v>7781.975</v>
      </c>
    </row>
    <row r="246" customFormat="false" ht="15" hidden="false" customHeight="false" outlineLevel="0" collapsed="false">
      <c r="D246" s="123" t="n">
        <v>3</v>
      </c>
      <c r="E246" s="123"/>
      <c r="F246" s="123"/>
      <c r="G246" s="124" t="s">
        <v>448</v>
      </c>
      <c r="H246" s="123"/>
      <c r="I246" s="123"/>
      <c r="J246" s="123"/>
      <c r="K246" s="123"/>
      <c r="L246" s="123"/>
    </row>
    <row r="247" customFormat="false" ht="32.45" hidden="false" customHeight="true" outlineLevel="0" collapsed="false">
      <c r="D247" s="137" t="s">
        <v>33</v>
      </c>
      <c r="E247" s="163" t="s">
        <v>578</v>
      </c>
      <c r="F247" s="163" t="n">
        <v>38076</v>
      </c>
      <c r="G247" s="164" t="s">
        <v>449</v>
      </c>
      <c r="H247" s="165" t="s">
        <v>240</v>
      </c>
      <c r="I247" s="166" t="n">
        <v>8</v>
      </c>
      <c r="J247" s="153" t="n">
        <v>16.7</v>
      </c>
      <c r="K247" s="128" t="n">
        <f aca="false">J247*(1+$K$7)</f>
        <v>20.875</v>
      </c>
      <c r="L247" s="128" t="n">
        <f aca="false">I247*K247</f>
        <v>167</v>
      </c>
    </row>
    <row r="248" customFormat="false" ht="15.6" hidden="false" customHeight="true" outlineLevel="0" collapsed="false">
      <c r="D248" s="137" t="s">
        <v>38</v>
      </c>
      <c r="E248" s="163" t="s">
        <v>578</v>
      </c>
      <c r="F248" s="163" t="n">
        <v>38075</v>
      </c>
      <c r="G248" s="164" t="s">
        <v>450</v>
      </c>
      <c r="H248" s="165" t="s">
        <v>240</v>
      </c>
      <c r="I248" s="166" t="n">
        <f aca="false">41+39+77</f>
        <v>157</v>
      </c>
      <c r="J248" s="153" t="n">
        <v>14.89</v>
      </c>
      <c r="K248" s="128" t="n">
        <f aca="false">J248*(1+$K$7)</f>
        <v>18.6125</v>
      </c>
      <c r="L248" s="128" t="n">
        <f aca="false">I248*K248</f>
        <v>2922.1625</v>
      </c>
    </row>
    <row r="249" customFormat="false" ht="15" hidden="false" customHeight="false" outlineLevel="0" collapsed="false">
      <c r="D249" s="137" t="s">
        <v>41</v>
      </c>
      <c r="E249" s="163" t="s">
        <v>578</v>
      </c>
      <c r="F249" s="163" t="n">
        <v>38083</v>
      </c>
      <c r="G249" s="164" t="s">
        <v>451</v>
      </c>
      <c r="H249" s="165" t="s">
        <v>240</v>
      </c>
      <c r="I249" s="166" t="n">
        <v>7</v>
      </c>
      <c r="J249" s="167" t="n">
        <v>33.45</v>
      </c>
      <c r="K249" s="128" t="n">
        <f aca="false">J249*(1+$K$7)</f>
        <v>41.8125</v>
      </c>
      <c r="L249" s="128" t="n">
        <f aca="false">I249*K249</f>
        <v>292.6875</v>
      </c>
    </row>
    <row r="250" customFormat="false" ht="15" hidden="false" customHeight="false" outlineLevel="0" collapsed="false">
      <c r="D250" s="137" t="s">
        <v>45</v>
      </c>
      <c r="E250" s="163" t="s">
        <v>578</v>
      </c>
      <c r="F250" s="163" t="n">
        <v>38097</v>
      </c>
      <c r="G250" s="164" t="s">
        <v>452</v>
      </c>
      <c r="H250" s="165" t="s">
        <v>240</v>
      </c>
      <c r="I250" s="166" t="n">
        <v>7</v>
      </c>
      <c r="J250" s="153" t="n">
        <v>5.53</v>
      </c>
      <c r="K250" s="128" t="n">
        <f aca="false">J250*(1+$K$7)</f>
        <v>6.9125</v>
      </c>
      <c r="L250" s="128" t="n">
        <f aca="false">I250*K250</f>
        <v>48.3875</v>
      </c>
    </row>
    <row r="251" customFormat="false" ht="15" hidden="false" customHeight="false" outlineLevel="0" collapsed="false">
      <c r="D251" s="137" t="s">
        <v>47</v>
      </c>
      <c r="E251" s="163" t="s">
        <v>578</v>
      </c>
      <c r="F251" s="163" t="n">
        <v>38102</v>
      </c>
      <c r="G251" s="164" t="s">
        <v>453</v>
      </c>
      <c r="H251" s="165" t="s">
        <v>240</v>
      </c>
      <c r="I251" s="166" t="n">
        <v>16</v>
      </c>
      <c r="J251" s="153" t="n">
        <v>9.36</v>
      </c>
      <c r="K251" s="128" t="n">
        <f aca="false">J251*(1+$K$7)</f>
        <v>11.7</v>
      </c>
      <c r="L251" s="128" t="n">
        <f aca="false">I251*K251</f>
        <v>187.2</v>
      </c>
    </row>
    <row r="252" customFormat="false" ht="15" hidden="false" customHeight="false" outlineLevel="0" collapsed="false">
      <c r="D252" s="137" t="s">
        <v>50</v>
      </c>
      <c r="E252" s="163" t="s">
        <v>578</v>
      </c>
      <c r="F252" s="163" t="n">
        <v>2688</v>
      </c>
      <c r="G252" s="164" t="s">
        <v>454</v>
      </c>
      <c r="H252" s="165" t="s">
        <v>257</v>
      </c>
      <c r="I252" s="166" t="n">
        <v>1597.32</v>
      </c>
      <c r="J252" s="153" t="n">
        <v>2.28</v>
      </c>
      <c r="K252" s="128" t="n">
        <f aca="false">J252*(1+$K$7)</f>
        <v>2.85</v>
      </c>
      <c r="L252" s="128" t="n">
        <f aca="false">I252*K252</f>
        <v>4552.362</v>
      </c>
    </row>
    <row r="253" customFormat="false" ht="15" hidden="false" customHeight="false" outlineLevel="0" collapsed="false">
      <c r="D253" s="137" t="s">
        <v>141</v>
      </c>
      <c r="E253" s="163" t="s">
        <v>578</v>
      </c>
      <c r="F253" s="163" t="n">
        <v>38778</v>
      </c>
      <c r="G253" s="164" t="s">
        <v>455</v>
      </c>
      <c r="H253" s="165" t="s">
        <v>240</v>
      </c>
      <c r="I253" s="166" t="n">
        <f aca="false">63+2+46</f>
        <v>111</v>
      </c>
      <c r="J253" s="167" t="n">
        <v>7.09</v>
      </c>
      <c r="K253" s="128" t="n">
        <f aca="false">J253*(1+$K$7)</f>
        <v>8.8625</v>
      </c>
      <c r="L253" s="128" t="n">
        <f aca="false">I253*K253</f>
        <v>983.7375</v>
      </c>
    </row>
    <row r="254" customFormat="false" ht="15.6" hidden="false" customHeight="true" outlineLevel="0" collapsed="false">
      <c r="D254" s="137" t="s">
        <v>456</v>
      </c>
      <c r="E254" s="163" t="s">
        <v>578</v>
      </c>
      <c r="F254" s="163" t="n">
        <v>2556</v>
      </c>
      <c r="G254" s="164" t="s">
        <v>457</v>
      </c>
      <c r="H254" s="165" t="s">
        <v>240</v>
      </c>
      <c r="I254" s="166" t="n">
        <f aca="false">23+12</f>
        <v>35</v>
      </c>
      <c r="J254" s="153" t="n">
        <v>2.06</v>
      </c>
      <c r="K254" s="128" t="n">
        <f aca="false">J254*(1+$K$7)</f>
        <v>2.575</v>
      </c>
      <c r="L254" s="128" t="n">
        <f aca="false">I254*K254</f>
        <v>90.125</v>
      </c>
    </row>
    <row r="255" customFormat="false" ht="15" hidden="false" customHeight="false" outlineLevel="0" collapsed="false">
      <c r="D255" s="137" t="s">
        <v>458</v>
      </c>
      <c r="E255" s="163" t="s">
        <v>578</v>
      </c>
      <c r="F255" s="163" t="n">
        <v>2557</v>
      </c>
      <c r="G255" s="164" t="s">
        <v>459</v>
      </c>
      <c r="H255" s="165" t="s">
        <v>240</v>
      </c>
      <c r="I255" s="166" t="n">
        <f aca="false">80+41</f>
        <v>121</v>
      </c>
      <c r="J255" s="153" t="n">
        <v>4.37</v>
      </c>
      <c r="K255" s="128" t="n">
        <f aca="false">J255*(1+$K$7)</f>
        <v>5.4625</v>
      </c>
      <c r="L255" s="128" t="n">
        <f aca="false">I255*K255</f>
        <v>660.9625</v>
      </c>
    </row>
    <row r="256" customFormat="false" ht="15" hidden="false" customHeight="false" outlineLevel="0" collapsed="false">
      <c r="D256" s="137" t="s">
        <v>460</v>
      </c>
      <c r="E256" s="163" t="s">
        <v>578</v>
      </c>
      <c r="F256" s="163" t="n">
        <v>39810</v>
      </c>
      <c r="G256" s="164" t="s">
        <v>461</v>
      </c>
      <c r="H256" s="165" t="s">
        <v>240</v>
      </c>
      <c r="I256" s="166" t="n">
        <v>3</v>
      </c>
      <c r="J256" s="153" t="n">
        <v>25.91</v>
      </c>
      <c r="K256" s="128" t="n">
        <f aca="false">J256*(1+$K$7)</f>
        <v>32.3875</v>
      </c>
      <c r="L256" s="128" t="n">
        <f aca="false">I256*K256</f>
        <v>97.1625</v>
      </c>
    </row>
    <row r="257" customFormat="false" ht="15" hidden="false" customHeight="false" outlineLevel="0" collapsed="false">
      <c r="D257" s="137" t="s">
        <v>462</v>
      </c>
      <c r="E257" s="163" t="s">
        <v>578</v>
      </c>
      <c r="F257" s="163" t="n">
        <v>38769</v>
      </c>
      <c r="G257" s="164" t="s">
        <v>463</v>
      </c>
      <c r="H257" s="165" t="s">
        <v>240</v>
      </c>
      <c r="I257" s="166" t="n">
        <f aca="false">3+10+9+3+8+9</f>
        <v>42</v>
      </c>
      <c r="J257" s="153" t="n">
        <v>62.58</v>
      </c>
      <c r="K257" s="128" t="n">
        <f aca="false">J257*(1+$K$7)</f>
        <v>78.225</v>
      </c>
      <c r="L257" s="128" t="n">
        <f aca="false">I257*K257</f>
        <v>3285.45</v>
      </c>
    </row>
    <row r="258" customFormat="false" ht="15" hidden="false" customHeight="false" outlineLevel="0" collapsed="false">
      <c r="D258" s="137" t="s">
        <v>464</v>
      </c>
      <c r="E258" s="163" t="s">
        <v>578</v>
      </c>
      <c r="F258" s="163" t="n">
        <v>38778</v>
      </c>
      <c r="G258" s="164" t="s">
        <v>465</v>
      </c>
      <c r="H258" s="165" t="s">
        <v>240</v>
      </c>
      <c r="I258" s="166" t="n">
        <v>27</v>
      </c>
      <c r="J258" s="167" t="n">
        <v>7.09</v>
      </c>
      <c r="K258" s="128" t="n">
        <f aca="false">J258*(1+$K$7)</f>
        <v>8.8625</v>
      </c>
      <c r="L258" s="128" t="n">
        <f aca="false">I258*K258</f>
        <v>239.2875</v>
      </c>
    </row>
    <row r="259" customFormat="false" ht="15" hidden="false" customHeight="false" outlineLevel="0" collapsed="false">
      <c r="D259" s="137" t="s">
        <v>466</v>
      </c>
      <c r="E259" s="163" t="s">
        <v>578</v>
      </c>
      <c r="F259" s="163" t="n">
        <v>38128</v>
      </c>
      <c r="G259" s="164" t="s">
        <v>467</v>
      </c>
      <c r="H259" s="165" t="s">
        <v>240</v>
      </c>
      <c r="I259" s="166" t="n">
        <f aca="false">16+12</f>
        <v>28</v>
      </c>
      <c r="J259" s="153" t="n">
        <v>6.45</v>
      </c>
      <c r="K259" s="128" t="n">
        <f aca="false">J259*(1+$K$7)</f>
        <v>8.0625</v>
      </c>
      <c r="L259" s="128" t="n">
        <f aca="false">I259*K259</f>
        <v>225.75</v>
      </c>
    </row>
    <row r="260" customFormat="false" ht="15" hidden="false" customHeight="false" outlineLevel="0" collapsed="false">
      <c r="D260" s="137" t="s">
        <v>468</v>
      </c>
      <c r="E260" s="163" t="s">
        <v>578</v>
      </c>
      <c r="F260" s="163" t="n">
        <v>38072</v>
      </c>
      <c r="G260" s="164" t="s">
        <v>469</v>
      </c>
      <c r="H260" s="165" t="s">
        <v>240</v>
      </c>
      <c r="I260" s="166" t="n">
        <f aca="false">7+9</f>
        <v>16</v>
      </c>
      <c r="J260" s="153" t="n">
        <v>19.63</v>
      </c>
      <c r="K260" s="128" t="n">
        <f aca="false">J260*(1+$K$7)</f>
        <v>24.5375</v>
      </c>
      <c r="L260" s="128" t="n">
        <f aca="false">I260*K260</f>
        <v>392.6</v>
      </c>
    </row>
    <row r="261" customFormat="false" ht="15" hidden="false" customHeight="false" outlineLevel="0" collapsed="false">
      <c r="D261" s="137" t="s">
        <v>470</v>
      </c>
      <c r="E261" s="163" t="s">
        <v>578</v>
      </c>
      <c r="F261" s="163" t="n">
        <v>38071</v>
      </c>
      <c r="G261" s="164" t="s">
        <v>471</v>
      </c>
      <c r="H261" s="165" t="s">
        <v>240</v>
      </c>
      <c r="I261" s="166" t="n">
        <f aca="false">15+4</f>
        <v>19</v>
      </c>
      <c r="J261" s="153" t="n">
        <v>16.2</v>
      </c>
      <c r="K261" s="128" t="n">
        <f aca="false">J261*(1+$K$7)</f>
        <v>20.25</v>
      </c>
      <c r="L261" s="128" t="n">
        <f aca="false">I261*K261</f>
        <v>384.75</v>
      </c>
    </row>
    <row r="262" customFormat="false" ht="15" hidden="false" customHeight="false" outlineLevel="0" collapsed="false">
      <c r="D262" s="137" t="s">
        <v>472</v>
      </c>
      <c r="E262" s="163" t="s">
        <v>578</v>
      </c>
      <c r="F262" s="163" t="n">
        <v>38070</v>
      </c>
      <c r="G262" s="164" t="s">
        <v>473</v>
      </c>
      <c r="H262" s="165" t="s">
        <v>240</v>
      </c>
      <c r="I262" s="166" t="n">
        <f aca="false">19+6</f>
        <v>25</v>
      </c>
      <c r="J262" s="153" t="n">
        <v>15.65</v>
      </c>
      <c r="K262" s="128" t="n">
        <f aca="false">J262*(1+$K$7)</f>
        <v>19.5625</v>
      </c>
      <c r="L262" s="128" t="n">
        <f aca="false">I262*K262</f>
        <v>489.0625</v>
      </c>
    </row>
    <row r="263" customFormat="false" ht="15" hidden="false" customHeight="false" outlineLevel="0" collapsed="false">
      <c r="D263" s="137" t="s">
        <v>474</v>
      </c>
      <c r="E263" s="163" t="s">
        <v>578</v>
      </c>
      <c r="F263" s="163" t="n">
        <v>38065</v>
      </c>
      <c r="G263" s="164" t="s">
        <v>475</v>
      </c>
      <c r="H263" s="165" t="s">
        <v>240</v>
      </c>
      <c r="I263" s="166" t="n">
        <f aca="false">5+1</f>
        <v>6</v>
      </c>
      <c r="J263" s="167" t="n">
        <v>26.43</v>
      </c>
      <c r="K263" s="128" t="n">
        <f aca="false">J263*(1+$K$7)</f>
        <v>33.0375</v>
      </c>
      <c r="L263" s="128" t="n">
        <f aca="false">I263*K263</f>
        <v>198.225</v>
      </c>
    </row>
    <row r="264" customFormat="false" ht="15" hidden="false" customHeight="false" outlineLevel="0" collapsed="false">
      <c r="D264" s="137" t="s">
        <v>476</v>
      </c>
      <c r="E264" s="163" t="s">
        <v>578</v>
      </c>
      <c r="F264" s="163" t="n">
        <v>38080</v>
      </c>
      <c r="G264" s="164" t="s">
        <v>477</v>
      </c>
      <c r="H264" s="165" t="s">
        <v>240</v>
      </c>
      <c r="I264" s="166" t="n">
        <f aca="false">21+9</f>
        <v>30</v>
      </c>
      <c r="J264" s="167" t="n">
        <v>26.78</v>
      </c>
      <c r="K264" s="128" t="n">
        <f aca="false">J264*(1+$K$7)</f>
        <v>33.475</v>
      </c>
      <c r="L264" s="128" t="n">
        <f aca="false">I264*K264</f>
        <v>1004.25</v>
      </c>
    </row>
    <row r="265" customFormat="false" ht="15" hidden="false" customHeight="false" outlineLevel="0" collapsed="false">
      <c r="D265" s="137" t="s">
        <v>478</v>
      </c>
      <c r="E265" s="163" t="s">
        <v>578</v>
      </c>
      <c r="F265" s="163" t="n">
        <v>39762</v>
      </c>
      <c r="G265" s="164" t="s">
        <v>479</v>
      </c>
      <c r="H265" s="165" t="s">
        <v>240</v>
      </c>
      <c r="I265" s="166" t="n">
        <v>3</v>
      </c>
      <c r="J265" s="153" t="n">
        <v>793.98</v>
      </c>
      <c r="K265" s="128" t="n">
        <f aca="false">J265*(1+$K$7)</f>
        <v>992.475</v>
      </c>
      <c r="L265" s="128" t="n">
        <f aca="false">I265*K265</f>
        <v>2977.425</v>
      </c>
    </row>
    <row r="266" customFormat="false" ht="15" hidden="false" customHeight="false" outlineLevel="0" collapsed="false">
      <c r="D266" s="137" t="s">
        <v>480</v>
      </c>
      <c r="E266" s="163" t="s">
        <v>578</v>
      </c>
      <c r="F266" s="163" t="n">
        <v>984</v>
      </c>
      <c r="G266" s="164" t="s">
        <v>481</v>
      </c>
      <c r="H266" s="165" t="s">
        <v>482</v>
      </c>
      <c r="I266" s="166" t="n">
        <f aca="false">56.91+313.89+350.89</f>
        <v>721.69</v>
      </c>
      <c r="J266" s="153" t="n">
        <v>3.41</v>
      </c>
      <c r="K266" s="128" t="n">
        <f aca="false">J266*(1+$K$7)</f>
        <v>4.2625</v>
      </c>
      <c r="L266" s="128" t="n">
        <f aca="false">I266*K266</f>
        <v>3076.203625</v>
      </c>
    </row>
    <row r="267" customFormat="false" ht="15" hidden="false" customHeight="false" outlineLevel="0" collapsed="false">
      <c r="D267" s="137" t="s">
        <v>483</v>
      </c>
      <c r="E267" s="163" t="s">
        <v>578</v>
      </c>
      <c r="F267" s="163" t="n">
        <v>984</v>
      </c>
      <c r="G267" s="164" t="s">
        <v>484</v>
      </c>
      <c r="H267" s="165" t="s">
        <v>257</v>
      </c>
      <c r="I267" s="166" t="n">
        <f aca="false">52.45+224.88+280.47</f>
        <v>557.8</v>
      </c>
      <c r="J267" s="153" t="n">
        <v>3.41</v>
      </c>
      <c r="K267" s="128" t="n">
        <f aca="false">J267*(1+$K$7)</f>
        <v>4.2625</v>
      </c>
      <c r="L267" s="128" t="n">
        <f aca="false">I267*K267</f>
        <v>2377.6225</v>
      </c>
    </row>
    <row r="268" customFormat="false" ht="15" hidden="false" customHeight="false" outlineLevel="0" collapsed="false">
      <c r="D268" s="137" t="s">
        <v>485</v>
      </c>
      <c r="E268" s="163" t="s">
        <v>578</v>
      </c>
      <c r="F268" s="163" t="n">
        <v>984</v>
      </c>
      <c r="G268" s="164" t="s">
        <v>486</v>
      </c>
      <c r="H268" s="165" t="s">
        <v>257</v>
      </c>
      <c r="I268" s="166" t="n">
        <f aca="false">68.54+320.85+383.07</f>
        <v>772.46</v>
      </c>
      <c r="J268" s="153" t="n">
        <v>3.41</v>
      </c>
      <c r="K268" s="128" t="n">
        <f aca="false">J268*(1+$K$7)</f>
        <v>4.2625</v>
      </c>
      <c r="L268" s="128" t="n">
        <f aca="false">I268*K268</f>
        <v>3292.61075</v>
      </c>
    </row>
    <row r="269" customFormat="false" ht="15" hidden="false" customHeight="false" outlineLevel="0" collapsed="false">
      <c r="D269" s="137" t="s">
        <v>487</v>
      </c>
      <c r="E269" s="163" t="s">
        <v>578</v>
      </c>
      <c r="F269" s="163" t="n">
        <v>984</v>
      </c>
      <c r="G269" s="164" t="s">
        <v>488</v>
      </c>
      <c r="H269" s="165" t="s">
        <v>257</v>
      </c>
      <c r="I269" s="166" t="n">
        <f aca="false">71.69+476.43+525.25</f>
        <v>1073.37</v>
      </c>
      <c r="J269" s="153" t="n">
        <v>3.41</v>
      </c>
      <c r="K269" s="128" t="n">
        <f aca="false">J269*(1+$K$7)</f>
        <v>4.2625</v>
      </c>
      <c r="L269" s="128" t="n">
        <f aca="false">I269*K269</f>
        <v>4575.239625</v>
      </c>
    </row>
    <row r="270" customFormat="false" ht="15" hidden="false" customHeight="false" outlineLevel="0" collapsed="false">
      <c r="D270" s="137" t="s">
        <v>489</v>
      </c>
      <c r="E270" s="163" t="s">
        <v>578</v>
      </c>
      <c r="F270" s="163" t="n">
        <v>1008</v>
      </c>
      <c r="G270" s="164" t="s">
        <v>490</v>
      </c>
      <c r="H270" s="168" t="s">
        <v>257</v>
      </c>
      <c r="I270" s="169" t="n">
        <f aca="false">138.9+172.5</f>
        <v>311.4</v>
      </c>
      <c r="J270" s="167" t="n">
        <v>5.67</v>
      </c>
      <c r="K270" s="128" t="n">
        <f aca="false">J270*(1+$K$7)</f>
        <v>7.0875</v>
      </c>
      <c r="L270" s="128" t="n">
        <f aca="false">I270*K270</f>
        <v>2207.0475</v>
      </c>
    </row>
    <row r="271" customFormat="false" ht="15" hidden="false" customHeight="false" outlineLevel="0" collapsed="false">
      <c r="D271" s="137" t="s">
        <v>491</v>
      </c>
      <c r="E271" s="163" t="s">
        <v>578</v>
      </c>
      <c r="F271" s="163" t="n">
        <v>1008</v>
      </c>
      <c r="G271" s="164" t="s">
        <v>492</v>
      </c>
      <c r="H271" s="168" t="s">
        <v>257</v>
      </c>
      <c r="I271" s="169" t="n">
        <f aca="false">69.45+86.25</f>
        <v>155.7</v>
      </c>
      <c r="J271" s="167" t="n">
        <v>5.67</v>
      </c>
      <c r="K271" s="128" t="n">
        <f aca="false">J271*(1+$K$7)</f>
        <v>7.0875</v>
      </c>
      <c r="L271" s="128" t="n">
        <f aca="false">I271*K271</f>
        <v>1103.52375</v>
      </c>
    </row>
    <row r="272" customFormat="false" ht="15" hidden="false" customHeight="false" outlineLevel="0" collapsed="false">
      <c r="D272" s="137" t="s">
        <v>493</v>
      </c>
      <c r="E272" s="163" t="s">
        <v>578</v>
      </c>
      <c r="F272" s="168" t="n">
        <v>1014</v>
      </c>
      <c r="G272" s="164" t="s">
        <v>494</v>
      </c>
      <c r="H272" s="165" t="s">
        <v>257</v>
      </c>
      <c r="I272" s="166" t="n">
        <v>386.89</v>
      </c>
      <c r="J272" s="153" t="n">
        <v>2.18</v>
      </c>
      <c r="K272" s="128" t="n">
        <f aca="false">J272*(1+$K$7)</f>
        <v>2.725</v>
      </c>
      <c r="L272" s="128" t="n">
        <f aca="false">I272*K272</f>
        <v>1054.27525</v>
      </c>
    </row>
    <row r="273" customFormat="false" ht="15" hidden="false" customHeight="false" outlineLevel="0" collapsed="false">
      <c r="D273" s="137" t="s">
        <v>495</v>
      </c>
      <c r="E273" s="163" t="s">
        <v>578</v>
      </c>
      <c r="F273" s="168" t="n">
        <v>1014</v>
      </c>
      <c r="G273" s="164" t="s">
        <v>496</v>
      </c>
      <c r="H273" s="165" t="s">
        <v>257</v>
      </c>
      <c r="I273" s="166" t="n">
        <v>337.48</v>
      </c>
      <c r="J273" s="167" t="n">
        <v>2.18</v>
      </c>
      <c r="K273" s="128" t="n">
        <f aca="false">J273*(1+$K$7)</f>
        <v>2.725</v>
      </c>
      <c r="L273" s="128" t="n">
        <f aca="false">I273*K273</f>
        <v>919.633</v>
      </c>
    </row>
    <row r="274" customFormat="false" ht="15" hidden="false" customHeight="false" outlineLevel="0" collapsed="false">
      <c r="D274" s="137" t="s">
        <v>497</v>
      </c>
      <c r="E274" s="163" t="s">
        <v>578</v>
      </c>
      <c r="F274" s="168" t="n">
        <v>1014</v>
      </c>
      <c r="G274" s="164" t="s">
        <v>498</v>
      </c>
      <c r="H274" s="165" t="s">
        <v>257</v>
      </c>
      <c r="I274" s="166" t="n">
        <v>347.24</v>
      </c>
      <c r="J274" s="153" t="n">
        <v>2.18</v>
      </c>
      <c r="K274" s="128" t="n">
        <f aca="false">J274*(1+$K$7)</f>
        <v>2.725</v>
      </c>
      <c r="L274" s="128" t="n">
        <f aca="false">I274*K274</f>
        <v>946.229</v>
      </c>
    </row>
    <row r="275" customFormat="false" ht="15" hidden="false" customHeight="false" outlineLevel="0" collapsed="false">
      <c r="D275" s="137" t="s">
        <v>499</v>
      </c>
      <c r="E275" s="163" t="s">
        <v>578</v>
      </c>
      <c r="F275" s="168" t="n">
        <v>1014</v>
      </c>
      <c r="G275" s="164" t="s">
        <v>500</v>
      </c>
      <c r="H275" s="165" t="s">
        <v>257</v>
      </c>
      <c r="I275" s="166" t="n">
        <v>372.24</v>
      </c>
      <c r="J275" s="167" t="n">
        <v>2.18</v>
      </c>
      <c r="K275" s="128" t="n">
        <f aca="false">J275*(1+$K$7)</f>
        <v>2.725</v>
      </c>
      <c r="L275" s="128" t="n">
        <f aca="false">I275*K275</f>
        <v>1014.354</v>
      </c>
    </row>
    <row r="276" customFormat="false" ht="15" hidden="false" customHeight="false" outlineLevel="0" collapsed="false">
      <c r="D276" s="137" t="s">
        <v>501</v>
      </c>
      <c r="E276" s="163" t="s">
        <v>578</v>
      </c>
      <c r="F276" s="168" t="n">
        <v>981</v>
      </c>
      <c r="G276" s="164" t="s">
        <v>502</v>
      </c>
      <c r="H276" s="165" t="s">
        <v>257</v>
      </c>
      <c r="I276" s="166" t="n">
        <v>134.34</v>
      </c>
      <c r="J276" s="167" t="n">
        <v>3.9</v>
      </c>
      <c r="K276" s="128" t="n">
        <f aca="false">J276*(1+$K$7)</f>
        <v>4.875</v>
      </c>
      <c r="L276" s="128" t="n">
        <f aca="false">I276*K276</f>
        <v>654.9075</v>
      </c>
    </row>
    <row r="277" customFormat="false" ht="15" hidden="false" customHeight="false" outlineLevel="0" collapsed="false">
      <c r="D277" s="137" t="s">
        <v>503</v>
      </c>
      <c r="E277" s="163" t="s">
        <v>578</v>
      </c>
      <c r="F277" s="168" t="n">
        <v>981</v>
      </c>
      <c r="G277" s="164" t="s">
        <v>504</v>
      </c>
      <c r="H277" s="165" t="s">
        <v>257</v>
      </c>
      <c r="I277" s="166" t="n">
        <v>86.69</v>
      </c>
      <c r="J277" s="167" t="n">
        <v>3.9</v>
      </c>
      <c r="K277" s="128" t="n">
        <f aca="false">J277*(1+$K$7)</f>
        <v>4.875</v>
      </c>
      <c r="L277" s="128" t="n">
        <f aca="false">I277*K277</f>
        <v>422.61375</v>
      </c>
    </row>
    <row r="278" customFormat="false" ht="15" hidden="false" customHeight="false" outlineLevel="0" collapsed="false">
      <c r="D278" s="137" t="s">
        <v>505</v>
      </c>
      <c r="E278" s="163" t="s">
        <v>578</v>
      </c>
      <c r="F278" s="168" t="n">
        <v>981</v>
      </c>
      <c r="G278" s="164" t="s">
        <v>506</v>
      </c>
      <c r="H278" s="165" t="s">
        <v>257</v>
      </c>
      <c r="I278" s="166" t="n">
        <v>85.21</v>
      </c>
      <c r="J278" s="167" t="n">
        <v>3.9</v>
      </c>
      <c r="K278" s="128" t="n">
        <f aca="false">J278*(1+$K$7)</f>
        <v>4.875</v>
      </c>
      <c r="L278" s="128" t="n">
        <f aca="false">I278*K278</f>
        <v>415.39875</v>
      </c>
    </row>
    <row r="279" customFormat="false" ht="15" hidden="false" customHeight="false" outlineLevel="0" collapsed="false">
      <c r="D279" s="137" t="s">
        <v>507</v>
      </c>
      <c r="E279" s="163" t="s">
        <v>578</v>
      </c>
      <c r="F279" s="168" t="n">
        <v>981</v>
      </c>
      <c r="G279" s="164" t="s">
        <v>508</v>
      </c>
      <c r="H279" s="165" t="s">
        <v>257</v>
      </c>
      <c r="I279" s="166" t="n">
        <v>107.3</v>
      </c>
      <c r="J279" s="167" t="n">
        <v>3.9</v>
      </c>
      <c r="K279" s="128" t="n">
        <f aca="false">J279*(1+$K$7)</f>
        <v>4.875</v>
      </c>
      <c r="L279" s="128" t="n">
        <f aca="false">I279*K279</f>
        <v>523.0875</v>
      </c>
    </row>
    <row r="280" customFormat="false" ht="15" hidden="false" customHeight="false" outlineLevel="0" collapsed="false">
      <c r="D280" s="137" t="s">
        <v>509</v>
      </c>
      <c r="E280" s="163" t="s">
        <v>578</v>
      </c>
      <c r="F280" s="168" t="n">
        <v>39232</v>
      </c>
      <c r="G280" s="164" t="s">
        <v>510</v>
      </c>
      <c r="H280" s="165" t="s">
        <v>257</v>
      </c>
      <c r="I280" s="166" t="n">
        <v>40.3</v>
      </c>
      <c r="J280" s="167" t="n">
        <v>23.05</v>
      </c>
      <c r="K280" s="128" t="n">
        <f aca="false">J280*(1+$K$7)</f>
        <v>28.8125</v>
      </c>
      <c r="L280" s="128" t="n">
        <f aca="false">I280*K280</f>
        <v>1161.14375</v>
      </c>
    </row>
    <row r="281" customFormat="false" ht="15" hidden="false" customHeight="false" outlineLevel="0" collapsed="false">
      <c r="D281" s="137" t="s">
        <v>511</v>
      </c>
      <c r="E281" s="163" t="s">
        <v>578</v>
      </c>
      <c r="F281" s="168" t="n">
        <v>39233</v>
      </c>
      <c r="G281" s="164" t="s">
        <v>512</v>
      </c>
      <c r="H281" s="165" t="s">
        <v>257</v>
      </c>
      <c r="I281" s="166" t="n">
        <f aca="false">21.84+37.43</f>
        <v>59.27</v>
      </c>
      <c r="J281" s="167" t="n">
        <v>31.69</v>
      </c>
      <c r="K281" s="128" t="n">
        <f aca="false">J281*(1+$K$7)</f>
        <v>39.6125</v>
      </c>
      <c r="L281" s="128" t="n">
        <f aca="false">I281*K281</f>
        <v>2347.832875</v>
      </c>
    </row>
    <row r="282" customFormat="false" ht="15" hidden="false" customHeight="false" outlineLevel="0" collapsed="false">
      <c r="D282" s="137" t="s">
        <v>513</v>
      </c>
      <c r="E282" s="163" t="s">
        <v>578</v>
      </c>
      <c r="F282" s="168" t="n">
        <v>39235</v>
      </c>
      <c r="G282" s="164" t="s">
        <v>514</v>
      </c>
      <c r="H282" s="165" t="s">
        <v>257</v>
      </c>
      <c r="I282" s="166" t="n">
        <f aca="false">21.84+37.43</f>
        <v>59.27</v>
      </c>
      <c r="J282" s="167" t="n">
        <v>65.42</v>
      </c>
      <c r="K282" s="128" t="n">
        <f aca="false">J282*(1+$K$7)</f>
        <v>81.775</v>
      </c>
      <c r="L282" s="128" t="n">
        <f aca="false">I282*K282</f>
        <v>4846.80425</v>
      </c>
    </row>
    <row r="283" customFormat="false" ht="15" hidden="false" customHeight="false" outlineLevel="0" collapsed="false">
      <c r="D283" s="137" t="s">
        <v>515</v>
      </c>
      <c r="E283" s="163" t="s">
        <v>578</v>
      </c>
      <c r="F283" s="168" t="n">
        <v>39235</v>
      </c>
      <c r="G283" s="164" t="s">
        <v>516</v>
      </c>
      <c r="H283" s="165" t="s">
        <v>257</v>
      </c>
      <c r="I283" s="166" t="n">
        <f aca="false">21.84+37.43</f>
        <v>59.27</v>
      </c>
      <c r="J283" s="167" t="n">
        <v>65.42</v>
      </c>
      <c r="K283" s="128" t="n">
        <f aca="false">J283*(1+$K$7)</f>
        <v>81.775</v>
      </c>
      <c r="L283" s="128" t="n">
        <f aca="false">I283*K283</f>
        <v>4846.80425</v>
      </c>
    </row>
    <row r="284" customFormat="false" ht="15" hidden="false" customHeight="false" outlineLevel="0" collapsed="false">
      <c r="D284" s="137" t="s">
        <v>517</v>
      </c>
      <c r="E284" s="163" t="s">
        <v>578</v>
      </c>
      <c r="F284" s="163" t="n">
        <v>2370</v>
      </c>
      <c r="G284" s="164" t="s">
        <v>518</v>
      </c>
      <c r="H284" s="165" t="s">
        <v>240</v>
      </c>
      <c r="I284" s="166" t="n">
        <v>4</v>
      </c>
      <c r="J284" s="153" t="n">
        <v>16.4</v>
      </c>
      <c r="K284" s="128" t="n">
        <f aca="false">J284*(1+$K$7)</f>
        <v>20.5</v>
      </c>
      <c r="L284" s="128" t="n">
        <f aca="false">I284*K284</f>
        <v>82</v>
      </c>
    </row>
    <row r="285" customFormat="false" ht="15" hidden="false" customHeight="false" outlineLevel="0" collapsed="false">
      <c r="D285" s="137" t="s">
        <v>519</v>
      </c>
      <c r="E285" s="163" t="s">
        <v>578</v>
      </c>
      <c r="F285" s="170" t="n">
        <v>2370</v>
      </c>
      <c r="G285" s="164" t="s">
        <v>520</v>
      </c>
      <c r="H285" s="165" t="s">
        <v>240</v>
      </c>
      <c r="I285" s="166" t="n">
        <v>13</v>
      </c>
      <c r="J285" s="153" t="n">
        <v>16.4</v>
      </c>
      <c r="K285" s="128" t="n">
        <f aca="false">J285*(1+$K$7)</f>
        <v>20.5</v>
      </c>
      <c r="L285" s="128" t="n">
        <f aca="false">I285*K285</f>
        <v>266.5</v>
      </c>
    </row>
    <row r="286" customFormat="false" ht="15" hidden="false" customHeight="false" outlineLevel="0" collapsed="false">
      <c r="D286" s="137" t="s">
        <v>521</v>
      </c>
      <c r="E286" s="163" t="s">
        <v>578</v>
      </c>
      <c r="F286" s="163" t="n">
        <v>2370</v>
      </c>
      <c r="G286" s="164" t="s">
        <v>522</v>
      </c>
      <c r="H286" s="165" t="s">
        <v>240</v>
      </c>
      <c r="I286" s="166" t="n">
        <v>1</v>
      </c>
      <c r="J286" s="153" t="n">
        <v>16.4</v>
      </c>
      <c r="K286" s="128" t="n">
        <f aca="false">J286*(1+$K$7)</f>
        <v>20.5</v>
      </c>
      <c r="L286" s="128" t="n">
        <f aca="false">I286*K286</f>
        <v>20.5</v>
      </c>
    </row>
    <row r="287" customFormat="false" ht="15" hidden="false" customHeight="false" outlineLevel="0" collapsed="false">
      <c r="D287" s="137" t="s">
        <v>523</v>
      </c>
      <c r="E287" s="163" t="s">
        <v>578</v>
      </c>
      <c r="F287" s="163" t="n">
        <v>2388</v>
      </c>
      <c r="G287" s="164" t="s">
        <v>524</v>
      </c>
      <c r="H287" s="165" t="s">
        <v>240</v>
      </c>
      <c r="I287" s="166" t="n">
        <f aca="false">16+5</f>
        <v>21</v>
      </c>
      <c r="J287" s="167" t="n">
        <v>88.26</v>
      </c>
      <c r="K287" s="128" t="n">
        <f aca="false">J287*(1+$K$7)</f>
        <v>110.325</v>
      </c>
      <c r="L287" s="128" t="n">
        <f aca="false">I287*K287</f>
        <v>2316.825</v>
      </c>
    </row>
    <row r="288" customFormat="false" ht="15" hidden="false" customHeight="false" outlineLevel="0" collapsed="false">
      <c r="D288" s="137" t="s">
        <v>525</v>
      </c>
      <c r="E288" s="163" t="s">
        <v>578</v>
      </c>
      <c r="F288" s="163" t="n">
        <v>2374</v>
      </c>
      <c r="G288" s="164" t="s">
        <v>526</v>
      </c>
      <c r="H288" s="165" t="s">
        <v>240</v>
      </c>
      <c r="I288" s="166" t="n">
        <v>2</v>
      </c>
      <c r="J288" s="167" t="n">
        <v>550.3</v>
      </c>
      <c r="K288" s="128" t="n">
        <f aca="false">J288*(1+$K$7)</f>
        <v>687.875</v>
      </c>
      <c r="L288" s="128" t="n">
        <f aca="false">I288*K288</f>
        <v>1375.75</v>
      </c>
    </row>
    <row r="289" customFormat="false" ht="15" hidden="false" customHeight="false" outlineLevel="0" collapsed="false">
      <c r="D289" s="137" t="s">
        <v>527</v>
      </c>
      <c r="E289" s="163" t="s">
        <v>578</v>
      </c>
      <c r="F289" s="163" t="n">
        <v>34729</v>
      </c>
      <c r="G289" s="164" t="s">
        <v>528</v>
      </c>
      <c r="H289" s="165" t="s">
        <v>240</v>
      </c>
      <c r="I289" s="166" t="n">
        <v>1</v>
      </c>
      <c r="J289" s="167" t="n">
        <v>1648.73</v>
      </c>
      <c r="K289" s="128" t="n">
        <f aca="false">J289*(1+$K$7)</f>
        <v>2060.9125</v>
      </c>
      <c r="L289" s="128" t="n">
        <f aca="false">I289*K289</f>
        <v>2060.9125</v>
      </c>
    </row>
    <row r="290" customFormat="false" ht="15" hidden="false" customHeight="false" outlineLevel="0" collapsed="false">
      <c r="D290" s="130" t="s">
        <v>569</v>
      </c>
      <c r="E290" s="130"/>
      <c r="F290" s="130"/>
      <c r="G290" s="130"/>
      <c r="H290" s="130"/>
      <c r="I290" s="130"/>
      <c r="J290" s="130"/>
      <c r="K290" s="130"/>
      <c r="L290" s="131" t="n">
        <f aca="false">SUM(L247:L289)</f>
        <v>61106.406125</v>
      </c>
    </row>
    <row r="291" customFormat="false" ht="33.6" hidden="false" customHeight="true" outlineLevel="0" collapsed="false">
      <c r="D291" s="142" t="s">
        <v>580</v>
      </c>
      <c r="E291" s="142"/>
      <c r="F291" s="142"/>
      <c r="G291" s="142"/>
      <c r="H291" s="142"/>
      <c r="I291" s="142"/>
      <c r="J291" s="142"/>
      <c r="K291" s="142"/>
      <c r="L291" s="143" t="n">
        <f aca="false">SUM(L232+L245+L290)</f>
        <v>160106.175875</v>
      </c>
    </row>
    <row r="292" customFormat="false" ht="10.9" hidden="false" customHeight="true" outlineLevel="0" collapsed="false">
      <c r="D292" s="171"/>
      <c r="E292" s="172"/>
      <c r="F292" s="172"/>
      <c r="G292" s="173"/>
      <c r="H292" s="172"/>
      <c r="I292" s="172"/>
      <c r="J292" s="172"/>
      <c r="K292" s="174"/>
      <c r="L292" s="175"/>
    </row>
    <row r="293" customFormat="false" ht="42.6" hidden="false" customHeight="true" outlineLevel="0" collapsed="false">
      <c r="D293" s="176" t="s">
        <v>581</v>
      </c>
      <c r="E293" s="176"/>
      <c r="F293" s="176"/>
      <c r="G293" s="176"/>
      <c r="H293" s="176"/>
      <c r="I293" s="176"/>
      <c r="J293" s="176"/>
      <c r="K293" s="176"/>
      <c r="L293" s="177" t="n">
        <f aca="false">SUM(L51+L148+L291)</f>
        <v>1266902.379375</v>
      </c>
    </row>
    <row r="294" customFormat="false" ht="15.75" hidden="false" customHeight="false" outlineLevel="0" collapsed="false">
      <c r="D294" s="50"/>
      <c r="E294" s="51"/>
      <c r="F294" s="51"/>
      <c r="G294" s="51"/>
      <c r="H294" s="51"/>
      <c r="I294" s="51"/>
      <c r="J294" s="51"/>
      <c r="K294" s="51"/>
      <c r="L294" s="52"/>
    </row>
    <row r="295" customFormat="false" ht="15.75" hidden="false" customHeight="false" outlineLevel="0" collapsed="false">
      <c r="D295" s="50"/>
      <c r="E295" s="51"/>
      <c r="F295" s="51"/>
      <c r="G295" s="51"/>
      <c r="H295" s="51"/>
      <c r="I295" s="51"/>
      <c r="J295" s="51"/>
      <c r="K295" s="51"/>
      <c r="L295" s="52"/>
    </row>
    <row r="296" customFormat="false" ht="15.75" hidden="false" customHeight="false" outlineLevel="0" collapsed="false">
      <c r="D296" s="53"/>
      <c r="E296" s="178"/>
      <c r="F296" s="178"/>
      <c r="G296" s="179"/>
      <c r="H296" s="180"/>
      <c r="I296" s="57"/>
      <c r="J296" s="181"/>
      <c r="K296" s="59"/>
      <c r="L296" s="182"/>
    </row>
    <row r="297" customFormat="false" ht="15" hidden="false" customHeight="false" outlineLevel="0" collapsed="false">
      <c r="D297" s="110" t="s">
        <v>529</v>
      </c>
      <c r="E297" s="110"/>
      <c r="F297" s="110"/>
      <c r="G297" s="110"/>
      <c r="H297" s="110"/>
      <c r="I297" s="110"/>
      <c r="J297" s="110"/>
      <c r="K297" s="110"/>
      <c r="L297" s="110"/>
      <c r="M297" s="61"/>
    </row>
    <row r="298" customFormat="false" ht="15" hidden="false" customHeight="false" outlineLevel="0" collapsed="false">
      <c r="D298" s="110" t="s">
        <v>530</v>
      </c>
      <c r="E298" s="110"/>
      <c r="F298" s="110"/>
      <c r="G298" s="110"/>
      <c r="H298" s="110"/>
      <c r="I298" s="110"/>
      <c r="J298" s="110"/>
      <c r="K298" s="110"/>
      <c r="L298" s="110"/>
      <c r="M298" s="61"/>
    </row>
    <row r="299" customFormat="false" ht="15" hidden="false" customHeight="false" outlineLevel="0" collapsed="false">
      <c r="D299" s="110" t="s">
        <v>531</v>
      </c>
      <c r="E299" s="110"/>
      <c r="F299" s="110"/>
      <c r="G299" s="110"/>
      <c r="H299" s="110"/>
      <c r="I299" s="110"/>
      <c r="J299" s="110"/>
      <c r="K299" s="110"/>
      <c r="L299" s="110"/>
      <c r="M299" s="61"/>
    </row>
    <row r="300" customFormat="false" ht="15" hidden="false" customHeight="false" outlineLevel="0" collapsed="false">
      <c r="D300" s="111" t="s">
        <v>532</v>
      </c>
      <c r="E300" s="111"/>
      <c r="F300" s="111"/>
      <c r="G300" s="111"/>
      <c r="H300" s="111"/>
      <c r="I300" s="111"/>
      <c r="J300" s="111"/>
      <c r="K300" s="111"/>
      <c r="L300" s="111"/>
      <c r="M300" s="61"/>
    </row>
    <row r="301" customFormat="false" ht="15.75" hidden="false" customHeight="false" outlineLevel="0" collapsed="false">
      <c r="D301" s="183"/>
      <c r="E301" s="178"/>
      <c r="F301" s="178"/>
      <c r="G301" s="184"/>
      <c r="H301" s="178"/>
      <c r="I301" s="185"/>
      <c r="J301" s="186"/>
      <c r="K301" s="59"/>
      <c r="L301" s="59"/>
    </row>
    <row r="302" customFormat="false" ht="15.75" hidden="false" customHeight="false" outlineLevel="0" collapsed="false">
      <c r="D302" s="183"/>
      <c r="E302" s="178"/>
      <c r="F302" s="178"/>
      <c r="G302" s="184"/>
      <c r="H302" s="178"/>
      <c r="I302" s="185"/>
      <c r="J302" s="186"/>
      <c r="K302" s="59"/>
      <c r="L302" s="59"/>
    </row>
    <row r="303" customFormat="false" ht="15.75" hidden="false" customHeight="false" outlineLevel="0" collapsed="false">
      <c r="D303" s="183"/>
      <c r="E303" s="178"/>
      <c r="F303" s="178"/>
      <c r="G303" s="184"/>
      <c r="H303" s="178"/>
      <c r="I303" s="185"/>
      <c r="J303" s="186"/>
      <c r="K303" s="59"/>
      <c r="L303" s="59"/>
    </row>
    <row r="304" customFormat="false" ht="15.75" hidden="false" customHeight="false" outlineLevel="0" collapsed="false">
      <c r="D304" s="183"/>
      <c r="E304" s="178"/>
      <c r="F304" s="178"/>
      <c r="G304" s="184"/>
      <c r="H304" s="178"/>
      <c r="I304" s="185"/>
      <c r="J304" s="186"/>
      <c r="K304" s="59"/>
      <c r="L304" s="59"/>
    </row>
    <row r="305" customFormat="false" ht="15.75" hidden="false" customHeight="false" outlineLevel="0" collapsed="false">
      <c r="D305" s="183"/>
      <c r="E305" s="178"/>
      <c r="F305" s="178"/>
      <c r="G305" s="184"/>
      <c r="H305" s="178"/>
      <c r="I305" s="185"/>
      <c r="J305" s="186"/>
      <c r="K305" s="59"/>
      <c r="L305" s="59"/>
    </row>
    <row r="306" customFormat="false" ht="15.75" hidden="false" customHeight="false" outlineLevel="0" collapsed="false">
      <c r="D306" s="183"/>
      <c r="E306" s="178"/>
      <c r="F306" s="178"/>
      <c r="G306" s="184"/>
      <c r="H306" s="178"/>
      <c r="I306" s="185"/>
      <c r="J306" s="186"/>
      <c r="K306" s="59"/>
      <c r="L306" s="59"/>
    </row>
    <row r="307" customFormat="false" ht="15.75" hidden="false" customHeight="false" outlineLevel="0" collapsed="false">
      <c r="D307" s="183"/>
      <c r="E307" s="178"/>
      <c r="F307" s="178"/>
      <c r="G307" s="184"/>
      <c r="H307" s="178"/>
      <c r="I307" s="185"/>
      <c r="J307" s="186"/>
      <c r="K307" s="59"/>
      <c r="L307" s="59"/>
    </row>
    <row r="308" customFormat="false" ht="15.75" hidden="false" customHeight="false" outlineLevel="0" collapsed="false">
      <c r="D308" s="183"/>
      <c r="E308" s="178"/>
      <c r="F308" s="178"/>
      <c r="G308" s="184"/>
      <c r="H308" s="178"/>
      <c r="I308" s="185"/>
      <c r="J308" s="186"/>
      <c r="K308" s="59"/>
      <c r="L308" s="59"/>
    </row>
    <row r="309" customFormat="false" ht="15.75" hidden="false" customHeight="false" outlineLevel="0" collapsed="false">
      <c r="D309" s="183"/>
      <c r="E309" s="178"/>
      <c r="F309" s="178"/>
      <c r="G309" s="184"/>
      <c r="H309" s="178"/>
      <c r="I309" s="185"/>
      <c r="J309" s="186"/>
      <c r="K309" s="59"/>
      <c r="L309" s="59"/>
    </row>
    <row r="310" customFormat="false" ht="15.75" hidden="false" customHeight="false" outlineLevel="0" collapsed="false">
      <c r="D310" s="183"/>
      <c r="E310" s="178"/>
      <c r="F310" s="178"/>
      <c r="G310" s="184"/>
      <c r="H310" s="178"/>
      <c r="I310" s="185"/>
      <c r="J310" s="186"/>
      <c r="K310" s="59"/>
      <c r="L310" s="59"/>
    </row>
    <row r="311" customFormat="false" ht="15.75" hidden="false" customHeight="false" outlineLevel="0" collapsed="false">
      <c r="D311" s="183"/>
      <c r="E311" s="178"/>
      <c r="F311" s="178"/>
      <c r="G311" s="184"/>
      <c r="H311" s="178"/>
      <c r="I311" s="185"/>
      <c r="J311" s="186"/>
      <c r="K311" s="59"/>
      <c r="L311" s="59"/>
    </row>
    <row r="312" customFormat="false" ht="15.75" hidden="false" customHeight="false" outlineLevel="0" collapsed="false">
      <c r="D312" s="183"/>
      <c r="E312" s="178"/>
      <c r="F312" s="178"/>
      <c r="G312" s="184"/>
      <c r="H312" s="178"/>
      <c r="I312" s="185"/>
      <c r="J312" s="186"/>
      <c r="K312" s="59"/>
      <c r="L312" s="59"/>
    </row>
    <row r="313" customFormat="false" ht="15.75" hidden="false" customHeight="false" outlineLevel="0" collapsed="false">
      <c r="D313" s="183"/>
      <c r="E313" s="178"/>
      <c r="F313" s="178"/>
      <c r="G313" s="184"/>
      <c r="H313" s="178"/>
      <c r="I313" s="185"/>
      <c r="J313" s="186"/>
      <c r="K313" s="59"/>
      <c r="L313" s="59"/>
    </row>
    <row r="314" customFormat="false" ht="15.75" hidden="false" customHeight="false" outlineLevel="0" collapsed="false">
      <c r="D314" s="183"/>
      <c r="E314" s="178"/>
      <c r="F314" s="178"/>
      <c r="G314" s="184"/>
      <c r="H314" s="178"/>
      <c r="I314" s="185"/>
      <c r="J314" s="186"/>
      <c r="K314" s="59"/>
      <c r="L314" s="59"/>
    </row>
    <row r="315" customFormat="false" ht="15.75" hidden="false" customHeight="false" outlineLevel="0" collapsed="false">
      <c r="D315" s="183"/>
      <c r="E315" s="178"/>
      <c r="F315" s="178"/>
      <c r="G315" s="184"/>
      <c r="H315" s="178"/>
      <c r="I315" s="185"/>
      <c r="J315" s="186"/>
      <c r="K315" s="59"/>
      <c r="L315" s="59"/>
    </row>
    <row r="316" customFormat="false" ht="15.75" hidden="false" customHeight="false" outlineLevel="0" collapsed="false">
      <c r="D316" s="183"/>
      <c r="E316" s="178"/>
      <c r="F316" s="178"/>
      <c r="G316" s="184"/>
      <c r="H316" s="178"/>
      <c r="I316" s="185"/>
      <c r="J316" s="186"/>
      <c r="K316" s="59"/>
      <c r="L316" s="59"/>
    </row>
    <row r="317" customFormat="false" ht="15.75" hidden="false" customHeight="false" outlineLevel="0" collapsed="false">
      <c r="D317" s="183"/>
      <c r="E317" s="178"/>
      <c r="F317" s="178"/>
      <c r="G317" s="184"/>
      <c r="H317" s="178"/>
      <c r="I317" s="185"/>
      <c r="J317" s="186"/>
      <c r="K317" s="59"/>
      <c r="L317" s="59"/>
    </row>
    <row r="318" customFormat="false" ht="15.75" hidden="false" customHeight="false" outlineLevel="0" collapsed="false">
      <c r="D318" s="183"/>
      <c r="E318" s="178"/>
      <c r="F318" s="178"/>
      <c r="G318" s="184"/>
      <c r="H318" s="178"/>
      <c r="I318" s="185"/>
      <c r="J318" s="186"/>
      <c r="K318" s="59"/>
      <c r="L318" s="59"/>
    </row>
    <row r="319" customFormat="false" ht="15.75" hidden="false" customHeight="false" outlineLevel="0" collapsed="false">
      <c r="D319" s="183"/>
      <c r="E319" s="178"/>
      <c r="F319" s="178"/>
      <c r="G319" s="184"/>
      <c r="H319" s="178"/>
      <c r="I319" s="185"/>
      <c r="J319" s="186"/>
      <c r="K319" s="59"/>
      <c r="L319" s="59"/>
    </row>
    <row r="320" customFormat="false" ht="15.75" hidden="false" customHeight="false" outlineLevel="0" collapsed="false">
      <c r="D320" s="183"/>
      <c r="E320" s="178"/>
      <c r="F320" s="178"/>
      <c r="G320" s="184"/>
      <c r="H320" s="178"/>
      <c r="I320" s="185"/>
      <c r="J320" s="186"/>
      <c r="K320" s="59"/>
      <c r="L320" s="59"/>
    </row>
    <row r="321" customFormat="false" ht="15.75" hidden="false" customHeight="false" outlineLevel="0" collapsed="false">
      <c r="D321" s="183"/>
      <c r="E321" s="178"/>
      <c r="F321" s="178"/>
      <c r="G321" s="184"/>
      <c r="H321" s="178"/>
      <c r="I321" s="185"/>
      <c r="J321" s="186"/>
      <c r="K321" s="59"/>
      <c r="L321" s="59"/>
    </row>
    <row r="322" customFormat="false" ht="15.75" hidden="false" customHeight="false" outlineLevel="0" collapsed="false">
      <c r="D322" s="183"/>
      <c r="E322" s="178"/>
      <c r="F322" s="178"/>
      <c r="G322" s="184"/>
      <c r="H322" s="178"/>
      <c r="I322" s="185"/>
      <c r="J322" s="186"/>
      <c r="K322" s="59"/>
      <c r="L322" s="59"/>
    </row>
    <row r="323" customFormat="false" ht="15.75" hidden="false" customHeight="false" outlineLevel="0" collapsed="false">
      <c r="D323" s="183"/>
      <c r="E323" s="178"/>
      <c r="F323" s="178"/>
      <c r="G323" s="184"/>
      <c r="H323" s="178"/>
      <c r="I323" s="185"/>
      <c r="J323" s="186"/>
      <c r="K323" s="59"/>
      <c r="L323" s="59"/>
    </row>
    <row r="324" customFormat="false" ht="15.75" hidden="false" customHeight="false" outlineLevel="0" collapsed="false">
      <c r="D324" s="183"/>
      <c r="E324" s="178"/>
      <c r="F324" s="178"/>
      <c r="G324" s="184"/>
      <c r="H324" s="178"/>
      <c r="I324" s="185"/>
      <c r="J324" s="186"/>
      <c r="K324" s="59"/>
      <c r="L324" s="59"/>
    </row>
    <row r="325" customFormat="false" ht="15.75" hidden="false" customHeight="false" outlineLevel="0" collapsed="false">
      <c r="D325" s="183"/>
      <c r="E325" s="178"/>
      <c r="F325" s="178"/>
      <c r="G325" s="184"/>
      <c r="H325" s="178"/>
      <c r="I325" s="185"/>
      <c r="J325" s="186"/>
      <c r="K325" s="59"/>
      <c r="L325" s="59"/>
    </row>
    <row r="326" customFormat="false" ht="15.75" hidden="false" customHeight="false" outlineLevel="0" collapsed="false">
      <c r="D326" s="183"/>
      <c r="E326" s="178"/>
      <c r="F326" s="178"/>
      <c r="G326" s="184"/>
      <c r="H326" s="178"/>
      <c r="I326" s="185"/>
      <c r="J326" s="186"/>
      <c r="K326" s="59"/>
      <c r="L326" s="59"/>
    </row>
    <row r="327" customFormat="false" ht="15.75" hidden="false" customHeight="false" outlineLevel="0" collapsed="false">
      <c r="D327" s="183"/>
      <c r="E327" s="178"/>
      <c r="F327" s="178"/>
      <c r="G327" s="184"/>
      <c r="H327" s="178"/>
      <c r="I327" s="185"/>
      <c r="J327" s="186"/>
      <c r="K327" s="59"/>
      <c r="L327" s="59"/>
    </row>
    <row r="328" customFormat="false" ht="15.75" hidden="false" customHeight="false" outlineLevel="0" collapsed="false">
      <c r="D328" s="183"/>
      <c r="E328" s="178"/>
      <c r="F328" s="178"/>
      <c r="G328" s="184"/>
      <c r="H328" s="178"/>
      <c r="I328" s="185"/>
      <c r="J328" s="186"/>
      <c r="K328" s="59"/>
      <c r="L328" s="59"/>
    </row>
    <row r="329" customFormat="false" ht="15.75" hidden="false" customHeight="false" outlineLevel="0" collapsed="false">
      <c r="D329" s="183"/>
      <c r="E329" s="178"/>
      <c r="F329" s="178"/>
      <c r="G329" s="184"/>
      <c r="H329" s="178"/>
      <c r="I329" s="185"/>
      <c r="J329" s="186"/>
      <c r="K329" s="59"/>
      <c r="L329" s="59"/>
    </row>
    <row r="330" customFormat="false" ht="15.75" hidden="false" customHeight="false" outlineLevel="0" collapsed="false">
      <c r="D330" s="183"/>
      <c r="E330" s="178"/>
      <c r="F330" s="178"/>
      <c r="G330" s="184"/>
      <c r="H330" s="178"/>
      <c r="I330" s="185"/>
      <c r="J330" s="186"/>
      <c r="K330" s="59"/>
      <c r="L330" s="59"/>
    </row>
    <row r="331" customFormat="false" ht="15.75" hidden="false" customHeight="false" outlineLevel="0" collapsed="false">
      <c r="D331" s="183"/>
      <c r="E331" s="178"/>
      <c r="F331" s="178"/>
      <c r="G331" s="184"/>
      <c r="H331" s="178"/>
      <c r="I331" s="185"/>
      <c r="J331" s="186"/>
      <c r="K331" s="59"/>
      <c r="L331" s="59"/>
    </row>
    <row r="332" customFormat="false" ht="15.75" hidden="false" customHeight="false" outlineLevel="0" collapsed="false">
      <c r="D332" s="183"/>
      <c r="E332" s="178"/>
      <c r="F332" s="178"/>
      <c r="G332" s="184"/>
      <c r="H332" s="178"/>
      <c r="I332" s="185"/>
      <c r="J332" s="186"/>
      <c r="K332" s="59"/>
      <c r="L332" s="59"/>
    </row>
    <row r="333" customFormat="false" ht="15.75" hidden="false" customHeight="false" outlineLevel="0" collapsed="false">
      <c r="D333" s="183"/>
      <c r="E333" s="178"/>
      <c r="F333" s="178"/>
      <c r="G333" s="184"/>
      <c r="H333" s="178"/>
      <c r="I333" s="185"/>
      <c r="J333" s="186"/>
      <c r="K333" s="59"/>
      <c r="L333" s="59"/>
    </row>
    <row r="334" customFormat="false" ht="15.75" hidden="false" customHeight="false" outlineLevel="0" collapsed="false">
      <c r="D334" s="183"/>
      <c r="E334" s="178"/>
      <c r="F334" s="178"/>
      <c r="G334" s="184"/>
      <c r="H334" s="178"/>
      <c r="I334" s="185"/>
      <c r="J334" s="186"/>
      <c r="K334" s="59"/>
      <c r="L334" s="59"/>
    </row>
    <row r="335" customFormat="false" ht="15.75" hidden="false" customHeight="false" outlineLevel="0" collapsed="false">
      <c r="D335" s="183"/>
      <c r="E335" s="178"/>
      <c r="F335" s="178"/>
      <c r="G335" s="184"/>
      <c r="H335" s="178"/>
      <c r="I335" s="185"/>
      <c r="J335" s="186"/>
      <c r="K335" s="59"/>
      <c r="L335" s="59"/>
    </row>
    <row r="336" customFormat="false" ht="15.75" hidden="false" customHeight="false" outlineLevel="0" collapsed="false">
      <c r="D336" s="183"/>
      <c r="E336" s="178"/>
      <c r="F336" s="178"/>
      <c r="G336" s="184"/>
      <c r="H336" s="178"/>
      <c r="I336" s="185"/>
      <c r="J336" s="186"/>
      <c r="K336" s="59"/>
      <c r="L336" s="59"/>
    </row>
    <row r="337" customFormat="false" ht="15.75" hidden="false" customHeight="false" outlineLevel="0" collapsed="false">
      <c r="D337" s="183"/>
      <c r="E337" s="178"/>
      <c r="F337" s="178"/>
      <c r="G337" s="184"/>
      <c r="H337" s="178"/>
      <c r="I337" s="185"/>
      <c r="J337" s="186"/>
      <c r="K337" s="59"/>
      <c r="L337" s="59"/>
    </row>
    <row r="338" customFormat="false" ht="15.75" hidden="false" customHeight="false" outlineLevel="0" collapsed="false">
      <c r="D338" s="183"/>
      <c r="E338" s="178"/>
      <c r="F338" s="178"/>
      <c r="G338" s="184"/>
      <c r="H338" s="178"/>
      <c r="I338" s="185"/>
      <c r="J338" s="186"/>
      <c r="K338" s="59"/>
      <c r="L338" s="59"/>
    </row>
    <row r="339" customFormat="false" ht="15.75" hidden="false" customHeight="false" outlineLevel="0" collapsed="false">
      <c r="D339" s="183"/>
      <c r="E339" s="178"/>
      <c r="F339" s="178"/>
      <c r="G339" s="184"/>
      <c r="H339" s="178"/>
      <c r="I339" s="185"/>
      <c r="J339" s="186"/>
      <c r="K339" s="59"/>
      <c r="L339" s="59"/>
    </row>
    <row r="340" customFormat="false" ht="15.75" hidden="false" customHeight="false" outlineLevel="0" collapsed="false">
      <c r="D340" s="183"/>
      <c r="E340" s="178"/>
      <c r="F340" s="178"/>
      <c r="G340" s="184"/>
      <c r="H340" s="178"/>
      <c r="I340" s="185"/>
      <c r="J340" s="186"/>
      <c r="K340" s="59"/>
      <c r="L340" s="59"/>
    </row>
    <row r="341" customFormat="false" ht="15.75" hidden="false" customHeight="false" outlineLevel="0" collapsed="false">
      <c r="D341" s="183"/>
      <c r="E341" s="178"/>
      <c r="F341" s="178"/>
      <c r="G341" s="184"/>
      <c r="H341" s="178"/>
      <c r="I341" s="185"/>
      <c r="J341" s="186"/>
      <c r="K341" s="59"/>
      <c r="L341" s="59"/>
    </row>
    <row r="342" customFormat="false" ht="15.75" hidden="false" customHeight="false" outlineLevel="0" collapsed="false">
      <c r="D342" s="183"/>
      <c r="E342" s="178"/>
      <c r="F342" s="178"/>
      <c r="G342" s="184"/>
      <c r="H342" s="178"/>
      <c r="I342" s="185"/>
      <c r="J342" s="186"/>
      <c r="K342" s="59"/>
      <c r="L342" s="59"/>
    </row>
    <row r="343" customFormat="false" ht="15.75" hidden="false" customHeight="false" outlineLevel="0" collapsed="false">
      <c r="D343" s="183"/>
      <c r="E343" s="178"/>
      <c r="F343" s="178"/>
      <c r="G343" s="184"/>
      <c r="H343" s="178"/>
      <c r="I343" s="185"/>
      <c r="J343" s="186"/>
      <c r="K343" s="59"/>
      <c r="L343" s="59"/>
    </row>
    <row r="344" customFormat="false" ht="15.75" hidden="false" customHeight="false" outlineLevel="0" collapsed="false">
      <c r="D344" s="183"/>
      <c r="E344" s="178"/>
      <c r="F344" s="178"/>
      <c r="G344" s="184"/>
      <c r="H344" s="178"/>
      <c r="I344" s="185"/>
      <c r="J344" s="186"/>
      <c r="K344" s="59"/>
      <c r="L344" s="59"/>
    </row>
    <row r="345" customFormat="false" ht="15.75" hidden="false" customHeight="false" outlineLevel="0" collapsed="false">
      <c r="D345" s="183"/>
      <c r="E345" s="178"/>
      <c r="F345" s="178"/>
      <c r="G345" s="184"/>
      <c r="H345" s="178"/>
      <c r="I345" s="185"/>
      <c r="J345" s="186"/>
      <c r="K345" s="59"/>
      <c r="L345" s="59"/>
    </row>
    <row r="346" customFormat="false" ht="15.75" hidden="false" customHeight="false" outlineLevel="0" collapsed="false">
      <c r="D346" s="183"/>
      <c r="E346" s="178"/>
      <c r="F346" s="178"/>
      <c r="G346" s="184"/>
      <c r="H346" s="178"/>
      <c r="I346" s="185"/>
      <c r="J346" s="186"/>
      <c r="K346" s="59"/>
      <c r="L346" s="59"/>
    </row>
    <row r="347" customFormat="false" ht="15.75" hidden="false" customHeight="false" outlineLevel="0" collapsed="false">
      <c r="D347" s="183"/>
      <c r="E347" s="178"/>
      <c r="F347" s="178"/>
      <c r="G347" s="184"/>
      <c r="H347" s="178"/>
      <c r="I347" s="185"/>
      <c r="J347" s="186"/>
      <c r="K347" s="59"/>
      <c r="L347" s="59"/>
    </row>
    <row r="348" customFormat="false" ht="15.75" hidden="false" customHeight="false" outlineLevel="0" collapsed="false">
      <c r="D348" s="183"/>
      <c r="E348" s="178"/>
      <c r="F348" s="178"/>
      <c r="G348" s="184"/>
      <c r="H348" s="178"/>
      <c r="I348" s="185"/>
      <c r="J348" s="186"/>
      <c r="K348" s="59"/>
      <c r="L348" s="59"/>
    </row>
    <row r="349" customFormat="false" ht="15.75" hidden="false" customHeight="false" outlineLevel="0" collapsed="false">
      <c r="D349" s="183"/>
      <c r="E349" s="178"/>
      <c r="F349" s="178"/>
      <c r="G349" s="184"/>
      <c r="H349" s="178"/>
      <c r="I349" s="185"/>
      <c r="J349" s="186"/>
      <c r="K349" s="59"/>
      <c r="L349" s="59"/>
    </row>
    <row r="350" customFormat="false" ht="15.75" hidden="false" customHeight="false" outlineLevel="0" collapsed="false">
      <c r="D350" s="183"/>
      <c r="E350" s="178"/>
      <c r="F350" s="178"/>
      <c r="G350" s="184"/>
      <c r="H350" s="178"/>
      <c r="I350" s="185"/>
      <c r="J350" s="186"/>
      <c r="K350" s="59"/>
      <c r="L350" s="59"/>
    </row>
    <row r="351" customFormat="false" ht="15.75" hidden="false" customHeight="false" outlineLevel="0" collapsed="false">
      <c r="D351" s="183"/>
      <c r="E351" s="178"/>
      <c r="F351" s="178"/>
      <c r="G351" s="184"/>
      <c r="H351" s="178"/>
      <c r="I351" s="185"/>
      <c r="J351" s="186"/>
      <c r="K351" s="59"/>
      <c r="L351" s="59"/>
    </row>
    <row r="352" customFormat="false" ht="15.75" hidden="false" customHeight="false" outlineLevel="0" collapsed="false">
      <c r="D352" s="183"/>
      <c r="E352" s="178"/>
      <c r="F352" s="178"/>
      <c r="G352" s="184"/>
      <c r="H352" s="178"/>
      <c r="I352" s="185"/>
      <c r="J352" s="186"/>
      <c r="K352" s="59"/>
      <c r="L352" s="59"/>
    </row>
    <row r="353" customFormat="false" ht="15.75" hidden="false" customHeight="false" outlineLevel="0" collapsed="false">
      <c r="D353" s="183"/>
      <c r="E353" s="178"/>
      <c r="F353" s="178"/>
      <c r="G353" s="184"/>
      <c r="H353" s="178"/>
      <c r="I353" s="185"/>
      <c r="J353" s="186"/>
      <c r="K353" s="59"/>
      <c r="L353" s="59"/>
    </row>
    <row r="354" customFormat="false" ht="15.75" hidden="false" customHeight="false" outlineLevel="0" collapsed="false">
      <c r="D354" s="183"/>
      <c r="E354" s="178"/>
      <c r="F354" s="178"/>
      <c r="G354" s="184"/>
      <c r="H354" s="178"/>
      <c r="I354" s="185"/>
      <c r="J354" s="186"/>
      <c r="K354" s="59"/>
      <c r="L354" s="59"/>
    </row>
    <row r="355" customFormat="false" ht="15.75" hidden="false" customHeight="false" outlineLevel="0" collapsed="false">
      <c r="D355" s="183"/>
      <c r="E355" s="178"/>
      <c r="F355" s="178"/>
      <c r="G355" s="184"/>
      <c r="H355" s="178"/>
      <c r="I355" s="185"/>
      <c r="J355" s="186"/>
      <c r="K355" s="59"/>
      <c r="L355" s="59"/>
    </row>
    <row r="356" customFormat="false" ht="15.75" hidden="false" customHeight="false" outlineLevel="0" collapsed="false">
      <c r="D356" s="183"/>
      <c r="E356" s="178"/>
      <c r="F356" s="178"/>
      <c r="G356" s="184"/>
      <c r="H356" s="178"/>
      <c r="I356" s="185"/>
      <c r="J356" s="186"/>
      <c r="K356" s="59"/>
      <c r="L356" s="59"/>
    </row>
    <row r="357" customFormat="false" ht="15.75" hidden="false" customHeight="false" outlineLevel="0" collapsed="false">
      <c r="D357" s="183"/>
      <c r="E357" s="178"/>
      <c r="F357" s="178"/>
      <c r="G357" s="184"/>
      <c r="H357" s="178"/>
      <c r="I357" s="185"/>
      <c r="J357" s="186"/>
      <c r="K357" s="59"/>
      <c r="L357" s="59"/>
    </row>
    <row r="358" customFormat="false" ht="15.75" hidden="false" customHeight="false" outlineLevel="0" collapsed="false">
      <c r="D358" s="183"/>
      <c r="E358" s="178"/>
      <c r="F358" s="178"/>
      <c r="G358" s="184"/>
      <c r="H358" s="178"/>
      <c r="I358" s="185"/>
      <c r="J358" s="186"/>
      <c r="K358" s="59"/>
      <c r="L358" s="59"/>
    </row>
    <row r="359" customFormat="false" ht="15.75" hidden="false" customHeight="false" outlineLevel="0" collapsed="false">
      <c r="D359" s="183"/>
      <c r="E359" s="178"/>
      <c r="F359" s="178"/>
      <c r="G359" s="184"/>
      <c r="H359" s="178"/>
      <c r="I359" s="185"/>
      <c r="J359" s="186"/>
      <c r="K359" s="59"/>
      <c r="L359" s="59"/>
    </row>
    <row r="360" customFormat="false" ht="15.75" hidden="false" customHeight="false" outlineLevel="0" collapsed="false">
      <c r="D360" s="183"/>
      <c r="E360" s="178"/>
      <c r="F360" s="178"/>
      <c r="G360" s="184"/>
      <c r="H360" s="178"/>
      <c r="I360" s="185"/>
      <c r="J360" s="186"/>
      <c r="K360" s="59"/>
      <c r="L360" s="59"/>
    </row>
    <row r="361" customFormat="false" ht="15.75" hidden="false" customHeight="false" outlineLevel="0" collapsed="false">
      <c r="D361" s="183"/>
      <c r="E361" s="178"/>
      <c r="F361" s="178"/>
      <c r="G361" s="184"/>
      <c r="H361" s="178"/>
      <c r="I361" s="185"/>
      <c r="J361" s="186"/>
      <c r="K361" s="59"/>
      <c r="L361" s="59"/>
    </row>
    <row r="362" customFormat="false" ht="15.75" hidden="false" customHeight="false" outlineLevel="0" collapsed="false">
      <c r="D362" s="183"/>
      <c r="E362" s="178"/>
      <c r="F362" s="178"/>
      <c r="G362" s="184"/>
      <c r="H362" s="178"/>
      <c r="I362" s="185"/>
      <c r="J362" s="186"/>
      <c r="K362" s="59"/>
      <c r="L362" s="59"/>
    </row>
    <row r="363" customFormat="false" ht="15.75" hidden="false" customHeight="false" outlineLevel="0" collapsed="false">
      <c r="D363" s="183"/>
      <c r="E363" s="178"/>
      <c r="F363" s="178"/>
      <c r="G363" s="184"/>
      <c r="H363" s="178"/>
      <c r="I363" s="185"/>
      <c r="J363" s="186"/>
      <c r="K363" s="59"/>
      <c r="L363" s="59"/>
    </row>
    <row r="364" customFormat="false" ht="15.75" hidden="false" customHeight="false" outlineLevel="0" collapsed="false">
      <c r="D364" s="183"/>
      <c r="E364" s="178"/>
      <c r="F364" s="178"/>
      <c r="G364" s="184"/>
      <c r="H364" s="178"/>
      <c r="I364" s="185"/>
      <c r="J364" s="186"/>
      <c r="K364" s="59"/>
      <c r="L364" s="59"/>
    </row>
    <row r="365" customFormat="false" ht="15.75" hidden="false" customHeight="false" outlineLevel="0" collapsed="false">
      <c r="D365" s="183"/>
      <c r="E365" s="178"/>
      <c r="F365" s="178"/>
      <c r="G365" s="184"/>
      <c r="H365" s="178"/>
      <c r="I365" s="185"/>
      <c r="J365" s="186"/>
      <c r="K365" s="59"/>
      <c r="L365" s="59"/>
    </row>
    <row r="366" customFormat="false" ht="15.75" hidden="false" customHeight="false" outlineLevel="0" collapsed="false">
      <c r="D366" s="183"/>
      <c r="E366" s="178"/>
      <c r="F366" s="178"/>
      <c r="G366" s="184"/>
      <c r="H366" s="178"/>
      <c r="I366" s="185"/>
      <c r="J366" s="186"/>
      <c r="K366" s="59"/>
      <c r="L366" s="59"/>
    </row>
    <row r="367" customFormat="false" ht="15.75" hidden="false" customHeight="false" outlineLevel="0" collapsed="false">
      <c r="D367" s="183"/>
      <c r="E367" s="178"/>
      <c r="F367" s="178"/>
      <c r="G367" s="184"/>
      <c r="H367" s="178"/>
      <c r="I367" s="185"/>
      <c r="J367" s="186"/>
      <c r="K367" s="59"/>
      <c r="L367" s="59"/>
    </row>
    <row r="368" customFormat="false" ht="15.75" hidden="false" customHeight="false" outlineLevel="0" collapsed="false">
      <c r="D368" s="183"/>
      <c r="E368" s="178"/>
      <c r="F368" s="178"/>
      <c r="G368" s="184"/>
      <c r="H368" s="178"/>
      <c r="I368" s="185"/>
      <c r="J368" s="186"/>
      <c r="K368" s="59"/>
      <c r="L368" s="59"/>
    </row>
    <row r="369" customFormat="false" ht="15.75" hidden="false" customHeight="false" outlineLevel="0" collapsed="false">
      <c r="D369" s="183"/>
      <c r="E369" s="178"/>
      <c r="F369" s="178"/>
      <c r="G369" s="184"/>
      <c r="H369" s="178"/>
      <c r="I369" s="185"/>
      <c r="J369" s="186"/>
      <c r="K369" s="59"/>
      <c r="L369" s="59"/>
    </row>
    <row r="370" customFormat="false" ht="15.75" hidden="false" customHeight="false" outlineLevel="0" collapsed="false">
      <c r="D370" s="183"/>
      <c r="E370" s="178"/>
      <c r="F370" s="178"/>
      <c r="G370" s="184"/>
      <c r="H370" s="178"/>
      <c r="I370" s="185"/>
      <c r="J370" s="186"/>
      <c r="K370" s="59"/>
      <c r="L370" s="59"/>
    </row>
    <row r="371" customFormat="false" ht="15.75" hidden="false" customHeight="false" outlineLevel="0" collapsed="false">
      <c r="D371" s="183"/>
      <c r="E371" s="178"/>
      <c r="F371" s="178"/>
      <c r="G371" s="184"/>
      <c r="H371" s="178"/>
      <c r="I371" s="185"/>
      <c r="J371" s="186"/>
      <c r="K371" s="59"/>
      <c r="L371" s="59"/>
    </row>
    <row r="372" customFormat="false" ht="15.75" hidden="false" customHeight="false" outlineLevel="0" collapsed="false">
      <c r="D372" s="183"/>
      <c r="E372" s="178"/>
      <c r="F372" s="178"/>
      <c r="G372" s="184"/>
      <c r="H372" s="178"/>
      <c r="I372" s="185"/>
      <c r="J372" s="186"/>
      <c r="K372" s="59"/>
      <c r="L372" s="59"/>
    </row>
    <row r="373" customFormat="false" ht="15.75" hidden="false" customHeight="false" outlineLevel="0" collapsed="false">
      <c r="D373" s="183"/>
      <c r="E373" s="178"/>
      <c r="F373" s="178"/>
      <c r="G373" s="184"/>
      <c r="H373" s="178"/>
      <c r="I373" s="185"/>
      <c r="J373" s="186"/>
      <c r="K373" s="59"/>
      <c r="L373" s="59"/>
    </row>
    <row r="374" customFormat="false" ht="15.75" hidden="false" customHeight="false" outlineLevel="0" collapsed="false">
      <c r="D374" s="183"/>
      <c r="E374" s="178"/>
      <c r="F374" s="178"/>
      <c r="G374" s="184"/>
      <c r="H374" s="178"/>
      <c r="I374" s="185"/>
      <c r="J374" s="186"/>
      <c r="K374" s="59"/>
      <c r="L374" s="59"/>
    </row>
    <row r="375" customFormat="false" ht="15.75" hidden="false" customHeight="false" outlineLevel="0" collapsed="false">
      <c r="D375" s="183"/>
      <c r="E375" s="178"/>
      <c r="F375" s="178"/>
      <c r="G375" s="184"/>
      <c r="H375" s="178"/>
      <c r="I375" s="185"/>
      <c r="J375" s="186"/>
      <c r="K375" s="59"/>
      <c r="L375" s="59"/>
    </row>
    <row r="376" customFormat="false" ht="15.75" hidden="false" customHeight="false" outlineLevel="0" collapsed="false">
      <c r="D376" s="183"/>
      <c r="E376" s="178"/>
      <c r="F376" s="178"/>
      <c r="G376" s="184"/>
      <c r="H376" s="178"/>
      <c r="I376" s="185"/>
      <c r="J376" s="186"/>
      <c r="K376" s="59"/>
      <c r="L376" s="59"/>
    </row>
    <row r="377" customFormat="false" ht="15.75" hidden="false" customHeight="false" outlineLevel="0" collapsed="false">
      <c r="D377" s="183"/>
      <c r="E377" s="178"/>
      <c r="F377" s="178"/>
      <c r="G377" s="184"/>
      <c r="H377" s="178"/>
      <c r="I377" s="185"/>
      <c r="J377" s="186"/>
      <c r="K377" s="59"/>
      <c r="L377" s="59"/>
    </row>
    <row r="378" customFormat="false" ht="15.75" hidden="false" customHeight="false" outlineLevel="0" collapsed="false">
      <c r="D378" s="183"/>
      <c r="E378" s="178"/>
      <c r="F378" s="178"/>
      <c r="G378" s="184"/>
      <c r="H378" s="178"/>
      <c r="I378" s="185"/>
      <c r="J378" s="186"/>
      <c r="K378" s="59"/>
      <c r="L378" s="59"/>
    </row>
    <row r="379" customFormat="false" ht="15.75" hidden="false" customHeight="false" outlineLevel="0" collapsed="false">
      <c r="D379" s="183"/>
      <c r="E379" s="178"/>
      <c r="F379" s="178"/>
      <c r="G379" s="184"/>
      <c r="H379" s="178"/>
      <c r="I379" s="185"/>
      <c r="J379" s="186"/>
      <c r="K379" s="59"/>
      <c r="L379" s="59"/>
    </row>
    <row r="380" customFormat="false" ht="15.75" hidden="false" customHeight="false" outlineLevel="0" collapsed="false">
      <c r="D380" s="183"/>
      <c r="E380" s="178"/>
      <c r="F380" s="178"/>
      <c r="G380" s="184"/>
      <c r="H380" s="178"/>
      <c r="I380" s="185"/>
      <c r="J380" s="186"/>
      <c r="K380" s="59"/>
      <c r="L380" s="59"/>
    </row>
    <row r="381" customFormat="false" ht="15.75" hidden="false" customHeight="false" outlineLevel="0" collapsed="false">
      <c r="D381" s="183"/>
      <c r="E381" s="178"/>
      <c r="F381" s="178"/>
      <c r="G381" s="184"/>
      <c r="H381" s="178"/>
      <c r="I381" s="185"/>
      <c r="J381" s="186"/>
      <c r="K381" s="59"/>
      <c r="L381" s="59"/>
    </row>
    <row r="382" customFormat="false" ht="15.75" hidden="false" customHeight="false" outlineLevel="0" collapsed="false">
      <c r="D382" s="183"/>
      <c r="E382" s="178"/>
      <c r="F382" s="178"/>
      <c r="G382" s="184"/>
      <c r="H382" s="178"/>
      <c r="I382" s="185"/>
      <c r="J382" s="186"/>
      <c r="K382" s="59"/>
      <c r="L382" s="59"/>
    </row>
    <row r="383" customFormat="false" ht="15.75" hidden="false" customHeight="false" outlineLevel="0" collapsed="false">
      <c r="D383" s="183"/>
      <c r="E383" s="178"/>
      <c r="F383" s="178"/>
      <c r="G383" s="184"/>
      <c r="H383" s="178"/>
      <c r="I383" s="185"/>
      <c r="J383" s="186"/>
      <c r="K383" s="59"/>
      <c r="L383" s="59"/>
    </row>
    <row r="384" customFormat="false" ht="15.75" hidden="false" customHeight="false" outlineLevel="0" collapsed="false">
      <c r="D384" s="183"/>
      <c r="E384" s="178"/>
      <c r="F384" s="178"/>
      <c r="G384" s="184"/>
      <c r="H384" s="178"/>
      <c r="I384" s="185"/>
      <c r="J384" s="186"/>
      <c r="K384" s="59"/>
      <c r="L384" s="59"/>
    </row>
    <row r="385" customFormat="false" ht="15.75" hidden="false" customHeight="false" outlineLevel="0" collapsed="false">
      <c r="D385" s="183"/>
      <c r="E385" s="178"/>
      <c r="F385" s="178"/>
      <c r="G385" s="184"/>
      <c r="H385" s="178"/>
      <c r="I385" s="185"/>
      <c r="J385" s="186"/>
      <c r="K385" s="59"/>
      <c r="L385" s="59"/>
    </row>
    <row r="386" customFormat="false" ht="15.75" hidden="false" customHeight="false" outlineLevel="0" collapsed="false">
      <c r="D386" s="183"/>
      <c r="E386" s="178"/>
      <c r="F386" s="178"/>
      <c r="G386" s="184"/>
      <c r="H386" s="178"/>
      <c r="I386" s="185"/>
      <c r="J386" s="186"/>
      <c r="K386" s="59"/>
      <c r="L386" s="59"/>
    </row>
    <row r="387" customFormat="false" ht="15.75" hidden="false" customHeight="false" outlineLevel="0" collapsed="false">
      <c r="D387" s="183"/>
      <c r="E387" s="178"/>
      <c r="F387" s="178"/>
      <c r="G387" s="184"/>
      <c r="H387" s="178"/>
      <c r="I387" s="185"/>
      <c r="J387" s="186"/>
      <c r="K387" s="59"/>
      <c r="L387" s="59"/>
    </row>
    <row r="388" customFormat="false" ht="15.75" hidden="false" customHeight="false" outlineLevel="0" collapsed="false">
      <c r="D388" s="183"/>
      <c r="E388" s="178"/>
      <c r="F388" s="178"/>
      <c r="G388" s="184"/>
      <c r="H388" s="178"/>
      <c r="I388" s="185"/>
      <c r="J388" s="186"/>
      <c r="K388" s="59"/>
      <c r="L388" s="59"/>
    </row>
    <row r="389" customFormat="false" ht="15.75" hidden="false" customHeight="false" outlineLevel="0" collapsed="false">
      <c r="D389" s="183"/>
      <c r="E389" s="178"/>
      <c r="F389" s="178"/>
      <c r="G389" s="184"/>
      <c r="H389" s="178"/>
      <c r="I389" s="185"/>
      <c r="J389" s="186"/>
      <c r="K389" s="59"/>
      <c r="L389" s="59"/>
    </row>
    <row r="390" customFormat="false" ht="15.75" hidden="false" customHeight="false" outlineLevel="0" collapsed="false">
      <c r="D390" s="183"/>
      <c r="E390" s="178"/>
      <c r="F390" s="178"/>
      <c r="G390" s="184"/>
      <c r="H390" s="178"/>
      <c r="I390" s="185"/>
      <c r="J390" s="186"/>
      <c r="K390" s="59"/>
      <c r="L390" s="59"/>
    </row>
    <row r="391" customFormat="false" ht="15.75" hidden="false" customHeight="false" outlineLevel="0" collapsed="false">
      <c r="D391" s="183"/>
      <c r="E391" s="178"/>
      <c r="F391" s="178"/>
      <c r="G391" s="184"/>
      <c r="H391" s="178"/>
      <c r="I391" s="185"/>
      <c r="J391" s="186"/>
      <c r="K391" s="59"/>
      <c r="L391" s="59"/>
    </row>
    <row r="392" customFormat="false" ht="15.75" hidden="false" customHeight="false" outlineLevel="0" collapsed="false">
      <c r="D392" s="183"/>
      <c r="E392" s="178"/>
      <c r="F392" s="178"/>
      <c r="G392" s="184"/>
      <c r="H392" s="178"/>
      <c r="I392" s="185"/>
      <c r="J392" s="186"/>
      <c r="K392" s="59"/>
      <c r="L392" s="59"/>
    </row>
    <row r="393" customFormat="false" ht="15.75" hidden="false" customHeight="false" outlineLevel="0" collapsed="false">
      <c r="D393" s="183"/>
      <c r="E393" s="178"/>
      <c r="F393" s="178"/>
      <c r="G393" s="184"/>
      <c r="H393" s="178"/>
      <c r="I393" s="185"/>
      <c r="J393" s="186"/>
      <c r="K393" s="59"/>
      <c r="L393" s="59"/>
    </row>
    <row r="394" customFormat="false" ht="15.75" hidden="false" customHeight="false" outlineLevel="0" collapsed="false">
      <c r="D394" s="183"/>
      <c r="E394" s="178"/>
      <c r="F394" s="178"/>
      <c r="G394" s="184"/>
      <c r="H394" s="178"/>
      <c r="I394" s="185"/>
      <c r="J394" s="186"/>
      <c r="K394" s="59"/>
      <c r="L394" s="59"/>
    </row>
    <row r="395" customFormat="false" ht="15.75" hidden="false" customHeight="false" outlineLevel="0" collapsed="false">
      <c r="D395" s="183"/>
      <c r="E395" s="178"/>
      <c r="F395" s="178"/>
      <c r="G395" s="184"/>
      <c r="H395" s="178"/>
      <c r="I395" s="185"/>
      <c r="J395" s="186"/>
      <c r="K395" s="59"/>
      <c r="L395" s="59"/>
    </row>
    <row r="396" customFormat="false" ht="15.75" hidden="false" customHeight="false" outlineLevel="0" collapsed="false">
      <c r="D396" s="183"/>
      <c r="E396" s="178"/>
      <c r="F396" s="178"/>
      <c r="G396" s="184"/>
      <c r="H396" s="178"/>
      <c r="I396" s="185"/>
      <c r="J396" s="186"/>
      <c r="K396" s="59"/>
      <c r="L396" s="59"/>
    </row>
    <row r="397" customFormat="false" ht="15.75" hidden="false" customHeight="false" outlineLevel="0" collapsed="false">
      <c r="D397" s="183"/>
      <c r="E397" s="178"/>
      <c r="F397" s="178"/>
      <c r="G397" s="184"/>
      <c r="H397" s="178"/>
      <c r="I397" s="185"/>
      <c r="J397" s="186"/>
      <c r="K397" s="59"/>
      <c r="L397" s="59"/>
    </row>
    <row r="398" customFormat="false" ht="15.75" hidden="false" customHeight="false" outlineLevel="0" collapsed="false">
      <c r="D398" s="183"/>
      <c r="E398" s="178"/>
      <c r="F398" s="178"/>
      <c r="G398" s="184"/>
      <c r="H398" s="178"/>
      <c r="I398" s="185"/>
      <c r="J398" s="186"/>
      <c r="K398" s="59"/>
      <c r="L398" s="59"/>
    </row>
    <row r="399" customFormat="false" ht="15.75" hidden="false" customHeight="false" outlineLevel="0" collapsed="false">
      <c r="D399" s="183"/>
      <c r="E399" s="178"/>
      <c r="F399" s="178"/>
      <c r="G399" s="184"/>
      <c r="H399" s="178"/>
      <c r="I399" s="185"/>
      <c r="J399" s="186"/>
      <c r="K399" s="59"/>
      <c r="L399" s="59"/>
    </row>
    <row r="400" customFormat="false" ht="15.75" hidden="false" customHeight="false" outlineLevel="0" collapsed="false">
      <c r="D400" s="183"/>
      <c r="E400" s="178"/>
      <c r="F400" s="178"/>
      <c r="G400" s="184"/>
      <c r="H400" s="178"/>
      <c r="I400" s="185"/>
      <c r="J400" s="186"/>
      <c r="K400" s="59"/>
      <c r="L400" s="59"/>
    </row>
    <row r="401" customFormat="false" ht="15.75" hidden="false" customHeight="false" outlineLevel="0" collapsed="false">
      <c r="D401" s="183"/>
      <c r="E401" s="178"/>
      <c r="F401" s="178"/>
      <c r="G401" s="184"/>
      <c r="H401" s="178"/>
      <c r="I401" s="185"/>
      <c r="J401" s="186"/>
      <c r="K401" s="59"/>
      <c r="L401" s="59"/>
    </row>
    <row r="402" customFormat="false" ht="15.75" hidden="false" customHeight="false" outlineLevel="0" collapsed="false">
      <c r="D402" s="183"/>
      <c r="E402" s="178"/>
      <c r="F402" s="178"/>
      <c r="G402" s="184"/>
      <c r="H402" s="178"/>
      <c r="I402" s="185"/>
      <c r="J402" s="186"/>
      <c r="K402" s="59"/>
      <c r="L402" s="59"/>
    </row>
    <row r="403" customFormat="false" ht="15.75" hidden="false" customHeight="false" outlineLevel="0" collapsed="false">
      <c r="D403" s="183"/>
      <c r="E403" s="178"/>
      <c r="F403" s="178"/>
      <c r="G403" s="184"/>
      <c r="H403" s="178"/>
      <c r="I403" s="185"/>
      <c r="J403" s="186"/>
      <c r="K403" s="59"/>
      <c r="L403" s="59"/>
    </row>
    <row r="404" customFormat="false" ht="15.75" hidden="false" customHeight="false" outlineLevel="0" collapsed="false">
      <c r="D404" s="183"/>
      <c r="E404" s="178"/>
      <c r="F404" s="178"/>
      <c r="G404" s="184"/>
      <c r="H404" s="178"/>
      <c r="I404" s="185"/>
      <c r="J404" s="186"/>
      <c r="K404" s="59"/>
      <c r="L404" s="59"/>
    </row>
    <row r="405" customFormat="false" ht="15.75" hidden="false" customHeight="false" outlineLevel="0" collapsed="false">
      <c r="D405" s="183"/>
      <c r="E405" s="178"/>
      <c r="F405" s="178"/>
      <c r="G405" s="184"/>
      <c r="H405" s="178"/>
      <c r="I405" s="185"/>
      <c r="J405" s="186"/>
      <c r="K405" s="59"/>
      <c r="L405" s="59"/>
    </row>
    <row r="406" customFormat="false" ht="15.75" hidden="false" customHeight="false" outlineLevel="0" collapsed="false">
      <c r="D406" s="183"/>
      <c r="E406" s="178"/>
      <c r="F406" s="178"/>
      <c r="G406" s="184"/>
      <c r="H406" s="178"/>
      <c r="I406" s="185"/>
      <c r="J406" s="186"/>
      <c r="K406" s="59"/>
      <c r="L406" s="59"/>
    </row>
    <row r="407" customFormat="false" ht="15.75" hidden="false" customHeight="false" outlineLevel="0" collapsed="false">
      <c r="D407" s="183"/>
      <c r="E407" s="178"/>
      <c r="F407" s="178"/>
      <c r="G407" s="184"/>
      <c r="H407" s="178"/>
      <c r="I407" s="185"/>
      <c r="J407" s="186"/>
      <c r="K407" s="59"/>
      <c r="L407" s="59"/>
    </row>
    <row r="408" customFormat="false" ht="15.75" hidden="false" customHeight="false" outlineLevel="0" collapsed="false">
      <c r="D408" s="183"/>
      <c r="E408" s="178"/>
      <c r="F408" s="178"/>
      <c r="G408" s="184"/>
      <c r="H408" s="178"/>
      <c r="I408" s="185"/>
      <c r="J408" s="186"/>
      <c r="K408" s="59"/>
      <c r="L408" s="59"/>
    </row>
    <row r="409" customFormat="false" ht="15.75" hidden="false" customHeight="false" outlineLevel="0" collapsed="false">
      <c r="D409" s="183"/>
      <c r="E409" s="178"/>
      <c r="F409" s="178"/>
      <c r="G409" s="184"/>
      <c r="H409" s="178"/>
      <c r="I409" s="185"/>
      <c r="J409" s="186"/>
      <c r="K409" s="59"/>
      <c r="L409" s="59"/>
    </row>
    <row r="410" customFormat="false" ht="15.75" hidden="false" customHeight="false" outlineLevel="0" collapsed="false">
      <c r="D410" s="183"/>
      <c r="E410" s="178"/>
      <c r="F410" s="178"/>
      <c r="G410" s="184"/>
      <c r="H410" s="178"/>
      <c r="I410" s="185"/>
      <c r="J410" s="186"/>
      <c r="K410" s="59"/>
      <c r="L410" s="59"/>
    </row>
    <row r="411" customFormat="false" ht="15.75" hidden="false" customHeight="false" outlineLevel="0" collapsed="false">
      <c r="D411" s="183"/>
      <c r="E411" s="178"/>
      <c r="F411" s="178"/>
      <c r="G411" s="184"/>
      <c r="H411" s="178"/>
      <c r="I411" s="185"/>
      <c r="J411" s="186"/>
      <c r="K411" s="59"/>
      <c r="L411" s="59"/>
    </row>
    <row r="412" customFormat="false" ht="15.75" hidden="false" customHeight="false" outlineLevel="0" collapsed="false">
      <c r="D412" s="183"/>
      <c r="E412" s="178"/>
      <c r="F412" s="178"/>
      <c r="G412" s="184"/>
      <c r="H412" s="178"/>
      <c r="I412" s="185"/>
      <c r="J412" s="186"/>
      <c r="K412" s="59"/>
      <c r="L412" s="59"/>
    </row>
    <row r="413" customFormat="false" ht="15.75" hidden="false" customHeight="false" outlineLevel="0" collapsed="false">
      <c r="D413" s="183"/>
      <c r="E413" s="178"/>
      <c r="F413" s="178"/>
      <c r="G413" s="184"/>
      <c r="H413" s="178"/>
      <c r="I413" s="185"/>
      <c r="J413" s="186"/>
      <c r="K413" s="59"/>
      <c r="L413" s="59"/>
    </row>
    <row r="414" customFormat="false" ht="15.75" hidden="false" customHeight="false" outlineLevel="0" collapsed="false">
      <c r="D414" s="183"/>
      <c r="E414" s="178"/>
      <c r="F414" s="178"/>
      <c r="G414" s="184"/>
      <c r="H414" s="178"/>
      <c r="I414" s="185"/>
      <c r="J414" s="186"/>
      <c r="K414" s="59"/>
      <c r="L414" s="59"/>
    </row>
    <row r="415" customFormat="false" ht="15.75" hidden="false" customHeight="false" outlineLevel="0" collapsed="false">
      <c r="D415" s="183"/>
      <c r="E415" s="178"/>
      <c r="F415" s="178"/>
      <c r="G415" s="184"/>
      <c r="H415" s="178"/>
      <c r="I415" s="185"/>
      <c r="J415" s="186"/>
      <c r="K415" s="59"/>
      <c r="L415" s="59"/>
    </row>
    <row r="416" customFormat="false" ht="15.75" hidden="false" customHeight="false" outlineLevel="0" collapsed="false">
      <c r="D416" s="183"/>
      <c r="E416" s="178"/>
      <c r="F416" s="178"/>
      <c r="G416" s="184"/>
      <c r="H416" s="178"/>
      <c r="I416" s="185"/>
      <c r="J416" s="186"/>
      <c r="K416" s="59"/>
      <c r="L416" s="59"/>
    </row>
    <row r="417" customFormat="false" ht="15.75" hidden="false" customHeight="false" outlineLevel="0" collapsed="false">
      <c r="D417" s="183"/>
      <c r="E417" s="178"/>
      <c r="F417" s="178"/>
      <c r="G417" s="184"/>
      <c r="H417" s="178"/>
      <c r="I417" s="185"/>
      <c r="J417" s="186"/>
      <c r="K417" s="59"/>
      <c r="L417" s="59"/>
    </row>
    <row r="418" customFormat="false" ht="15.75" hidden="false" customHeight="false" outlineLevel="0" collapsed="false">
      <c r="D418" s="183"/>
      <c r="E418" s="178"/>
      <c r="F418" s="178"/>
      <c r="G418" s="184"/>
      <c r="H418" s="178"/>
      <c r="I418" s="185"/>
      <c r="J418" s="186"/>
      <c r="K418" s="59"/>
      <c r="L418" s="59"/>
    </row>
    <row r="419" customFormat="false" ht="15.75" hidden="false" customHeight="false" outlineLevel="0" collapsed="false">
      <c r="D419" s="183"/>
      <c r="E419" s="178"/>
      <c r="F419" s="178"/>
      <c r="G419" s="184"/>
      <c r="H419" s="178"/>
      <c r="I419" s="185"/>
      <c r="J419" s="186"/>
      <c r="K419" s="59"/>
      <c r="L419" s="59"/>
    </row>
    <row r="420" customFormat="false" ht="15.75" hidden="false" customHeight="false" outlineLevel="0" collapsed="false">
      <c r="D420" s="183"/>
      <c r="E420" s="178"/>
      <c r="F420" s="178"/>
      <c r="G420" s="184"/>
      <c r="H420" s="178"/>
      <c r="I420" s="185"/>
      <c r="J420" s="186"/>
      <c r="K420" s="59"/>
      <c r="L420" s="59"/>
    </row>
    <row r="421" customFormat="false" ht="15.75" hidden="false" customHeight="false" outlineLevel="0" collapsed="false">
      <c r="D421" s="183"/>
      <c r="E421" s="178"/>
      <c r="F421" s="178"/>
      <c r="G421" s="184"/>
      <c r="H421" s="178"/>
      <c r="I421" s="185"/>
      <c r="J421" s="186"/>
      <c r="K421" s="59"/>
      <c r="L421" s="59"/>
    </row>
    <row r="422" customFormat="false" ht="15.75" hidden="false" customHeight="false" outlineLevel="0" collapsed="false">
      <c r="D422" s="183"/>
      <c r="E422" s="178"/>
      <c r="F422" s="178"/>
      <c r="G422" s="184"/>
      <c r="H422" s="178"/>
      <c r="I422" s="185"/>
      <c r="J422" s="186"/>
      <c r="K422" s="59"/>
      <c r="L422" s="59"/>
    </row>
    <row r="423" customFormat="false" ht="15.75" hidden="false" customHeight="false" outlineLevel="0" collapsed="false">
      <c r="D423" s="183"/>
      <c r="E423" s="178"/>
      <c r="F423" s="178"/>
      <c r="G423" s="184"/>
      <c r="H423" s="178"/>
      <c r="I423" s="185"/>
      <c r="J423" s="186"/>
      <c r="K423" s="59"/>
      <c r="L423" s="59"/>
    </row>
    <row r="424" customFormat="false" ht="15.75" hidden="false" customHeight="false" outlineLevel="0" collapsed="false">
      <c r="D424" s="183"/>
      <c r="E424" s="178"/>
      <c r="F424" s="178"/>
      <c r="G424" s="184"/>
      <c r="H424" s="178"/>
      <c r="I424" s="185"/>
      <c r="J424" s="186"/>
      <c r="K424" s="59"/>
      <c r="L424" s="59"/>
    </row>
    <row r="425" customFormat="false" ht="15.75" hidden="false" customHeight="false" outlineLevel="0" collapsed="false">
      <c r="D425" s="183"/>
      <c r="E425" s="178"/>
      <c r="F425" s="178"/>
      <c r="G425" s="184"/>
      <c r="H425" s="178"/>
      <c r="I425" s="185"/>
      <c r="J425" s="186"/>
      <c r="K425" s="59"/>
      <c r="L425" s="59"/>
    </row>
    <row r="426" customFormat="false" ht="15.75" hidden="false" customHeight="false" outlineLevel="0" collapsed="false">
      <c r="D426" s="183"/>
      <c r="E426" s="178"/>
      <c r="F426" s="178"/>
      <c r="G426" s="184"/>
      <c r="H426" s="178"/>
      <c r="I426" s="185"/>
      <c r="J426" s="186"/>
      <c r="K426" s="59"/>
      <c r="L426" s="59"/>
    </row>
    <row r="427" customFormat="false" ht="15.75" hidden="false" customHeight="false" outlineLevel="0" collapsed="false">
      <c r="D427" s="183"/>
      <c r="E427" s="178"/>
      <c r="F427" s="178"/>
      <c r="G427" s="184"/>
      <c r="H427" s="178"/>
      <c r="I427" s="185"/>
      <c r="J427" s="186"/>
      <c r="K427" s="59"/>
      <c r="L427" s="59"/>
    </row>
    <row r="428" customFormat="false" ht="15.75" hidden="false" customHeight="false" outlineLevel="0" collapsed="false">
      <c r="D428" s="183"/>
      <c r="E428" s="178"/>
      <c r="F428" s="178"/>
      <c r="G428" s="184"/>
      <c r="H428" s="178"/>
      <c r="I428" s="185"/>
      <c r="J428" s="186"/>
      <c r="K428" s="59"/>
      <c r="L428" s="59"/>
    </row>
    <row r="429" customFormat="false" ht="15.75" hidden="false" customHeight="false" outlineLevel="0" collapsed="false">
      <c r="D429" s="183"/>
      <c r="E429" s="178"/>
      <c r="F429" s="178"/>
      <c r="G429" s="184"/>
      <c r="H429" s="178"/>
      <c r="I429" s="185"/>
      <c r="J429" s="186"/>
      <c r="K429" s="59"/>
      <c r="L429" s="59"/>
    </row>
    <row r="430" customFormat="false" ht="15.75" hidden="false" customHeight="false" outlineLevel="0" collapsed="false">
      <c r="D430" s="183"/>
      <c r="E430" s="178"/>
      <c r="F430" s="178"/>
      <c r="G430" s="184"/>
      <c r="H430" s="178"/>
      <c r="I430" s="185"/>
      <c r="J430" s="186"/>
      <c r="K430" s="59"/>
      <c r="L430" s="59"/>
    </row>
    <row r="431" customFormat="false" ht="15.75" hidden="false" customHeight="false" outlineLevel="0" collapsed="false">
      <c r="D431" s="183"/>
      <c r="E431" s="178"/>
      <c r="F431" s="178"/>
      <c r="G431" s="184"/>
      <c r="H431" s="178"/>
      <c r="I431" s="185"/>
      <c r="J431" s="186"/>
      <c r="K431" s="59"/>
      <c r="L431" s="59"/>
    </row>
    <row r="432" customFormat="false" ht="15.75" hidden="false" customHeight="false" outlineLevel="0" collapsed="false">
      <c r="D432" s="183"/>
      <c r="E432" s="178"/>
      <c r="F432" s="178"/>
      <c r="G432" s="184"/>
      <c r="H432" s="178"/>
      <c r="I432" s="185"/>
      <c r="J432" s="186"/>
      <c r="K432" s="59"/>
      <c r="L432" s="59"/>
    </row>
    <row r="433" customFormat="false" ht="15.75" hidden="false" customHeight="false" outlineLevel="0" collapsed="false">
      <c r="D433" s="183"/>
      <c r="E433" s="178"/>
      <c r="F433" s="178"/>
      <c r="G433" s="184"/>
      <c r="H433" s="178"/>
      <c r="I433" s="185"/>
      <c r="J433" s="186"/>
      <c r="K433" s="59"/>
      <c r="L433" s="59"/>
    </row>
    <row r="434" customFormat="false" ht="15.75" hidden="false" customHeight="false" outlineLevel="0" collapsed="false">
      <c r="D434" s="183"/>
      <c r="E434" s="178"/>
      <c r="F434" s="178"/>
      <c r="G434" s="184"/>
      <c r="H434" s="178"/>
      <c r="I434" s="185"/>
      <c r="J434" s="186"/>
      <c r="K434" s="59"/>
      <c r="L434" s="59"/>
    </row>
    <row r="435" customFormat="false" ht="15.75" hidden="false" customHeight="false" outlineLevel="0" collapsed="false">
      <c r="D435" s="183"/>
      <c r="E435" s="178"/>
      <c r="F435" s="178"/>
      <c r="G435" s="184"/>
      <c r="H435" s="178"/>
      <c r="I435" s="185"/>
      <c r="J435" s="186"/>
      <c r="K435" s="59"/>
      <c r="L435" s="59"/>
    </row>
    <row r="436" customFormat="false" ht="15.75" hidden="false" customHeight="false" outlineLevel="0" collapsed="false">
      <c r="D436" s="183"/>
      <c r="E436" s="178"/>
      <c r="F436" s="178"/>
      <c r="G436" s="184"/>
      <c r="H436" s="178"/>
      <c r="I436" s="185"/>
      <c r="J436" s="186"/>
      <c r="K436" s="59"/>
      <c r="L436" s="59"/>
    </row>
    <row r="437" customFormat="false" ht="15.75" hidden="false" customHeight="false" outlineLevel="0" collapsed="false">
      <c r="D437" s="183"/>
      <c r="E437" s="178"/>
      <c r="F437" s="178"/>
      <c r="G437" s="184"/>
      <c r="H437" s="178"/>
      <c r="I437" s="185"/>
      <c r="J437" s="186"/>
      <c r="K437" s="59"/>
      <c r="L437" s="59"/>
    </row>
    <row r="438" customFormat="false" ht="15.75" hidden="false" customHeight="false" outlineLevel="0" collapsed="false">
      <c r="D438" s="183"/>
      <c r="E438" s="178"/>
      <c r="F438" s="178"/>
      <c r="G438" s="184"/>
      <c r="H438" s="178"/>
      <c r="I438" s="185"/>
      <c r="J438" s="186"/>
      <c r="K438" s="59"/>
      <c r="L438" s="59"/>
    </row>
    <row r="439" customFormat="false" ht="15.75" hidden="false" customHeight="false" outlineLevel="0" collapsed="false">
      <c r="D439" s="183"/>
      <c r="E439" s="178"/>
      <c r="F439" s="178"/>
      <c r="G439" s="184"/>
      <c r="H439" s="178"/>
      <c r="I439" s="185"/>
      <c r="J439" s="186"/>
      <c r="K439" s="59"/>
      <c r="L439" s="59"/>
    </row>
    <row r="440" customFormat="false" ht="15.75" hidden="false" customHeight="false" outlineLevel="0" collapsed="false">
      <c r="D440" s="183"/>
      <c r="E440" s="178"/>
      <c r="F440" s="178"/>
      <c r="G440" s="184"/>
      <c r="H440" s="178"/>
      <c r="I440" s="185"/>
      <c r="J440" s="186"/>
      <c r="K440" s="59"/>
      <c r="L440" s="59"/>
    </row>
    <row r="441" customFormat="false" ht="15.75" hidden="false" customHeight="false" outlineLevel="0" collapsed="false">
      <c r="D441" s="183"/>
      <c r="E441" s="178"/>
      <c r="F441" s="178"/>
      <c r="G441" s="184"/>
      <c r="H441" s="178"/>
      <c r="I441" s="185"/>
      <c r="J441" s="186"/>
      <c r="K441" s="59"/>
      <c r="L441" s="59"/>
    </row>
    <row r="442" customFormat="false" ht="15.75" hidden="false" customHeight="false" outlineLevel="0" collapsed="false">
      <c r="D442" s="183"/>
      <c r="E442" s="178"/>
      <c r="F442" s="178"/>
      <c r="G442" s="184"/>
      <c r="H442" s="178"/>
      <c r="I442" s="185"/>
      <c r="J442" s="186"/>
      <c r="K442" s="59"/>
      <c r="L442" s="59"/>
    </row>
    <row r="443" customFormat="false" ht="15.75" hidden="false" customHeight="false" outlineLevel="0" collapsed="false">
      <c r="D443" s="183"/>
      <c r="E443" s="178"/>
      <c r="F443" s="178"/>
      <c r="G443" s="184"/>
      <c r="H443" s="178"/>
      <c r="I443" s="185"/>
      <c r="J443" s="186"/>
      <c r="K443" s="59"/>
      <c r="L443" s="59"/>
    </row>
    <row r="444" customFormat="false" ht="15.75" hidden="false" customHeight="false" outlineLevel="0" collapsed="false">
      <c r="D444" s="183"/>
      <c r="E444" s="178"/>
      <c r="F444" s="178"/>
      <c r="G444" s="184"/>
      <c r="H444" s="178"/>
      <c r="I444" s="185"/>
      <c r="J444" s="186"/>
      <c r="K444" s="59"/>
      <c r="L444" s="59"/>
    </row>
    <row r="445" customFormat="false" ht="15.75" hidden="false" customHeight="false" outlineLevel="0" collapsed="false">
      <c r="D445" s="183"/>
      <c r="E445" s="178"/>
      <c r="F445" s="178"/>
      <c r="G445" s="184"/>
      <c r="H445" s="178"/>
      <c r="I445" s="185"/>
      <c r="J445" s="186"/>
      <c r="K445" s="59"/>
      <c r="L445" s="59"/>
    </row>
    <row r="446" customFormat="false" ht="15.75" hidden="false" customHeight="false" outlineLevel="0" collapsed="false">
      <c r="D446" s="183"/>
      <c r="E446" s="178"/>
      <c r="F446" s="178"/>
      <c r="G446" s="184"/>
      <c r="H446" s="178"/>
      <c r="I446" s="185"/>
      <c r="J446" s="186"/>
      <c r="K446" s="59"/>
      <c r="L446" s="59"/>
    </row>
    <row r="447" customFormat="false" ht="15.75" hidden="false" customHeight="false" outlineLevel="0" collapsed="false">
      <c r="D447" s="183"/>
      <c r="E447" s="178"/>
      <c r="F447" s="178"/>
      <c r="G447" s="184"/>
      <c r="H447" s="178"/>
      <c r="I447" s="185"/>
      <c r="J447" s="186"/>
      <c r="K447" s="59"/>
      <c r="L447" s="59"/>
    </row>
    <row r="448" customFormat="false" ht="15.75" hidden="false" customHeight="false" outlineLevel="0" collapsed="false">
      <c r="D448" s="183"/>
      <c r="E448" s="178"/>
      <c r="F448" s="178"/>
      <c r="G448" s="184"/>
      <c r="H448" s="178"/>
      <c r="I448" s="185"/>
      <c r="J448" s="186"/>
      <c r="K448" s="59"/>
      <c r="L448" s="59"/>
    </row>
    <row r="449" customFormat="false" ht="15.75" hidden="false" customHeight="false" outlineLevel="0" collapsed="false">
      <c r="D449" s="183"/>
      <c r="E449" s="178"/>
      <c r="F449" s="178"/>
      <c r="G449" s="184"/>
      <c r="H449" s="178"/>
      <c r="I449" s="185"/>
      <c r="J449" s="186"/>
      <c r="K449" s="59"/>
      <c r="L449" s="59"/>
    </row>
    <row r="450" customFormat="false" ht="15.75" hidden="false" customHeight="false" outlineLevel="0" collapsed="false">
      <c r="D450" s="183"/>
      <c r="E450" s="178"/>
      <c r="F450" s="178"/>
      <c r="G450" s="184"/>
      <c r="H450" s="178"/>
      <c r="I450" s="185"/>
      <c r="J450" s="186"/>
      <c r="K450" s="59"/>
      <c r="L450" s="59"/>
    </row>
    <row r="451" customFormat="false" ht="15.75" hidden="false" customHeight="false" outlineLevel="0" collapsed="false">
      <c r="D451" s="183"/>
      <c r="E451" s="178"/>
      <c r="F451" s="178"/>
      <c r="G451" s="184"/>
      <c r="H451" s="178"/>
      <c r="I451" s="185"/>
      <c r="J451" s="186"/>
      <c r="K451" s="59"/>
      <c r="L451" s="59"/>
    </row>
    <row r="452" customFormat="false" ht="15.75" hidden="false" customHeight="false" outlineLevel="0" collapsed="false">
      <c r="D452" s="183"/>
      <c r="E452" s="178"/>
      <c r="F452" s="178"/>
      <c r="G452" s="184"/>
      <c r="H452" s="178"/>
      <c r="I452" s="185"/>
      <c r="J452" s="186"/>
      <c r="K452" s="59"/>
      <c r="L452" s="59"/>
    </row>
    <row r="453" customFormat="false" ht="15.75" hidden="false" customHeight="false" outlineLevel="0" collapsed="false">
      <c r="D453" s="183"/>
      <c r="E453" s="178"/>
      <c r="F453" s="178"/>
      <c r="G453" s="184"/>
      <c r="H453" s="178"/>
      <c r="I453" s="185"/>
      <c r="J453" s="186"/>
      <c r="K453" s="59"/>
      <c r="L453" s="59"/>
    </row>
    <row r="454" customFormat="false" ht="15.75" hidden="false" customHeight="false" outlineLevel="0" collapsed="false">
      <c r="D454" s="183"/>
      <c r="E454" s="178"/>
      <c r="F454" s="178"/>
      <c r="G454" s="184"/>
      <c r="H454" s="178"/>
      <c r="I454" s="185"/>
      <c r="J454" s="186"/>
      <c r="K454" s="59"/>
      <c r="L454" s="59"/>
    </row>
    <row r="455" customFormat="false" ht="15.75" hidden="false" customHeight="false" outlineLevel="0" collapsed="false">
      <c r="D455" s="183"/>
      <c r="E455" s="178"/>
      <c r="F455" s="178"/>
      <c r="G455" s="184"/>
      <c r="H455" s="178"/>
      <c r="I455" s="185"/>
      <c r="J455" s="186"/>
      <c r="K455" s="59"/>
      <c r="L455" s="59"/>
    </row>
    <row r="456" customFormat="false" ht="15.75" hidden="false" customHeight="false" outlineLevel="0" collapsed="false">
      <c r="D456" s="183"/>
      <c r="E456" s="178"/>
      <c r="F456" s="178"/>
      <c r="G456" s="184"/>
      <c r="H456" s="178"/>
      <c r="I456" s="185"/>
      <c r="J456" s="186"/>
      <c r="K456" s="59"/>
      <c r="L456" s="59"/>
    </row>
    <row r="457" customFormat="false" ht="15.75" hidden="false" customHeight="false" outlineLevel="0" collapsed="false">
      <c r="D457" s="183"/>
      <c r="E457" s="178"/>
      <c r="F457" s="178"/>
      <c r="G457" s="184"/>
      <c r="H457" s="178"/>
      <c r="I457" s="185"/>
      <c r="J457" s="186"/>
      <c r="K457" s="59"/>
      <c r="L457" s="59"/>
    </row>
    <row r="458" customFormat="false" ht="15.75" hidden="false" customHeight="false" outlineLevel="0" collapsed="false">
      <c r="D458" s="183"/>
      <c r="E458" s="178"/>
      <c r="F458" s="178"/>
      <c r="G458" s="184"/>
      <c r="H458" s="178"/>
      <c r="I458" s="185"/>
      <c r="J458" s="186"/>
      <c r="K458" s="59"/>
      <c r="L458" s="59"/>
    </row>
    <row r="459" customFormat="false" ht="15.75" hidden="false" customHeight="false" outlineLevel="0" collapsed="false">
      <c r="D459" s="183"/>
      <c r="E459" s="178"/>
      <c r="F459" s="178"/>
      <c r="G459" s="184"/>
      <c r="H459" s="178"/>
      <c r="I459" s="185"/>
      <c r="J459" s="186"/>
      <c r="K459" s="59"/>
      <c r="L459" s="59"/>
    </row>
    <row r="460" customFormat="false" ht="15.75" hidden="false" customHeight="false" outlineLevel="0" collapsed="false">
      <c r="D460" s="183"/>
      <c r="E460" s="178"/>
      <c r="F460" s="178"/>
      <c r="G460" s="184"/>
      <c r="H460" s="178"/>
      <c r="I460" s="185"/>
      <c r="J460" s="186"/>
      <c r="K460" s="59"/>
      <c r="L460" s="59"/>
    </row>
    <row r="461" customFormat="false" ht="15.75" hidden="false" customHeight="false" outlineLevel="0" collapsed="false">
      <c r="D461" s="183"/>
      <c r="E461" s="178"/>
      <c r="F461" s="178"/>
      <c r="G461" s="184"/>
      <c r="H461" s="178"/>
      <c r="I461" s="185"/>
      <c r="J461" s="186"/>
      <c r="K461" s="59"/>
      <c r="L461" s="59"/>
    </row>
    <row r="462" customFormat="false" ht="15.75" hidden="false" customHeight="false" outlineLevel="0" collapsed="false">
      <c r="D462" s="183"/>
      <c r="E462" s="178"/>
      <c r="F462" s="178"/>
      <c r="G462" s="184"/>
      <c r="H462" s="178"/>
      <c r="I462" s="185"/>
      <c r="J462" s="186"/>
      <c r="K462" s="59"/>
      <c r="L462" s="59"/>
    </row>
    <row r="463" customFormat="false" ht="15.75" hidden="false" customHeight="false" outlineLevel="0" collapsed="false">
      <c r="D463" s="183"/>
      <c r="E463" s="178"/>
      <c r="F463" s="178"/>
      <c r="G463" s="184"/>
      <c r="H463" s="178"/>
      <c r="I463" s="185"/>
      <c r="J463" s="186"/>
      <c r="K463" s="59"/>
      <c r="L463" s="59"/>
    </row>
    <row r="464" customFormat="false" ht="15.75" hidden="false" customHeight="false" outlineLevel="0" collapsed="false">
      <c r="D464" s="183"/>
      <c r="E464" s="178"/>
      <c r="F464" s="178"/>
      <c r="G464" s="184"/>
      <c r="H464" s="178"/>
      <c r="I464" s="185"/>
      <c r="J464" s="186"/>
      <c r="K464" s="59"/>
      <c r="L464" s="59"/>
    </row>
    <row r="465" customFormat="false" ht="15.75" hidden="false" customHeight="false" outlineLevel="0" collapsed="false">
      <c r="D465" s="183"/>
      <c r="E465" s="178"/>
      <c r="F465" s="178"/>
      <c r="G465" s="184"/>
      <c r="H465" s="178"/>
      <c r="I465" s="185"/>
      <c r="J465" s="186"/>
      <c r="K465" s="59"/>
      <c r="L465" s="59"/>
    </row>
    <row r="466" customFormat="false" ht="15.75" hidden="false" customHeight="false" outlineLevel="0" collapsed="false">
      <c r="D466" s="183"/>
      <c r="E466" s="178"/>
      <c r="F466" s="178"/>
      <c r="G466" s="184"/>
      <c r="H466" s="178"/>
      <c r="I466" s="185"/>
      <c r="J466" s="186"/>
      <c r="K466" s="59"/>
      <c r="L466" s="59"/>
    </row>
    <row r="467" customFormat="false" ht="15.75" hidden="false" customHeight="false" outlineLevel="0" collapsed="false">
      <c r="D467" s="183"/>
      <c r="E467" s="178"/>
      <c r="F467" s="178"/>
      <c r="G467" s="184"/>
      <c r="H467" s="178"/>
      <c r="I467" s="185"/>
      <c r="J467" s="186"/>
      <c r="K467" s="59"/>
      <c r="L467" s="59"/>
    </row>
    <row r="468" customFormat="false" ht="15.75" hidden="false" customHeight="false" outlineLevel="0" collapsed="false">
      <c r="D468" s="183"/>
      <c r="E468" s="178"/>
      <c r="F468" s="178"/>
      <c r="G468" s="184"/>
      <c r="H468" s="178"/>
      <c r="I468" s="185"/>
      <c r="J468" s="186"/>
      <c r="K468" s="59"/>
      <c r="L468" s="59"/>
    </row>
    <row r="469" customFormat="false" ht="15.75" hidden="false" customHeight="false" outlineLevel="0" collapsed="false">
      <c r="D469" s="183"/>
      <c r="E469" s="178"/>
      <c r="F469" s="178"/>
      <c r="G469" s="184"/>
      <c r="H469" s="178"/>
      <c r="I469" s="185"/>
      <c r="J469" s="186"/>
      <c r="K469" s="59"/>
      <c r="L469" s="59"/>
    </row>
    <row r="470" customFormat="false" ht="15.75" hidden="false" customHeight="false" outlineLevel="0" collapsed="false">
      <c r="D470" s="183"/>
      <c r="E470" s="178"/>
      <c r="F470" s="178"/>
      <c r="G470" s="184"/>
      <c r="H470" s="178"/>
      <c r="I470" s="185"/>
      <c r="J470" s="186"/>
      <c r="K470" s="59"/>
      <c r="L470" s="59"/>
    </row>
  </sheetData>
  <mergeCells count="101">
    <mergeCell ref="D3:L3"/>
    <mergeCell ref="D4:L4"/>
    <mergeCell ref="D5:L5"/>
    <mergeCell ref="D6:L6"/>
    <mergeCell ref="D7:J7"/>
    <mergeCell ref="K7:L7"/>
    <mergeCell ref="D9:L9"/>
    <mergeCell ref="E10:F10"/>
    <mergeCell ref="H10:L10"/>
    <mergeCell ref="D14:K14"/>
    <mergeCell ref="E15:F15"/>
    <mergeCell ref="H15:L15"/>
    <mergeCell ref="D17:K17"/>
    <mergeCell ref="E18:F18"/>
    <mergeCell ref="H18:L18"/>
    <mergeCell ref="D25:K25"/>
    <mergeCell ref="E26:F26"/>
    <mergeCell ref="H26:L26"/>
    <mergeCell ref="D28:K28"/>
    <mergeCell ref="E29:F29"/>
    <mergeCell ref="H29:L29"/>
    <mergeCell ref="D34:K34"/>
    <mergeCell ref="E35:F35"/>
    <mergeCell ref="H35:L35"/>
    <mergeCell ref="D38:K38"/>
    <mergeCell ref="E39:F39"/>
    <mergeCell ref="H39:L39"/>
    <mergeCell ref="D43:K43"/>
    <mergeCell ref="E44:F44"/>
    <mergeCell ref="H44:L44"/>
    <mergeCell ref="D47:K47"/>
    <mergeCell ref="E48:F48"/>
    <mergeCell ref="H48:L48"/>
    <mergeCell ref="D50:K50"/>
    <mergeCell ref="D51:K51"/>
    <mergeCell ref="D52:L52"/>
    <mergeCell ref="D53:L53"/>
    <mergeCell ref="E54:F54"/>
    <mergeCell ref="H54:L54"/>
    <mergeCell ref="D57:K57"/>
    <mergeCell ref="E58:F58"/>
    <mergeCell ref="H58:L58"/>
    <mergeCell ref="D63:K63"/>
    <mergeCell ref="E64:F64"/>
    <mergeCell ref="H64:L64"/>
    <mergeCell ref="D72:K72"/>
    <mergeCell ref="E73:F73"/>
    <mergeCell ref="H73:L73"/>
    <mergeCell ref="D84:K84"/>
    <mergeCell ref="E85:F85"/>
    <mergeCell ref="H85:L85"/>
    <mergeCell ref="D87:K87"/>
    <mergeCell ref="E88:F88"/>
    <mergeCell ref="H88:L88"/>
    <mergeCell ref="D94:K94"/>
    <mergeCell ref="E95:F95"/>
    <mergeCell ref="H95:L95"/>
    <mergeCell ref="D103:K103"/>
    <mergeCell ref="E104:F104"/>
    <mergeCell ref="H104:L104"/>
    <mergeCell ref="D106:K106"/>
    <mergeCell ref="E107:F107"/>
    <mergeCell ref="H107:L107"/>
    <mergeCell ref="D110:K110"/>
    <mergeCell ref="E111:F111"/>
    <mergeCell ref="H111:L111"/>
    <mergeCell ref="D116:K116"/>
    <mergeCell ref="E117:F117"/>
    <mergeCell ref="H117:L117"/>
    <mergeCell ref="D121:K121"/>
    <mergeCell ref="E122:F122"/>
    <mergeCell ref="H122:L122"/>
    <mergeCell ref="D135:K135"/>
    <mergeCell ref="E136:F136"/>
    <mergeCell ref="H136:L136"/>
    <mergeCell ref="D139:K139"/>
    <mergeCell ref="E140:F140"/>
    <mergeCell ref="H140:L140"/>
    <mergeCell ref="D144:K144"/>
    <mergeCell ref="E145:F145"/>
    <mergeCell ref="H145:L145"/>
    <mergeCell ref="D147:K147"/>
    <mergeCell ref="D148:K148"/>
    <mergeCell ref="D149:L149"/>
    <mergeCell ref="D150:L150"/>
    <mergeCell ref="D151:L151"/>
    <mergeCell ref="E152:F152"/>
    <mergeCell ref="H152:L152"/>
    <mergeCell ref="D232:K232"/>
    <mergeCell ref="E233:F233"/>
    <mergeCell ref="H233:L233"/>
    <mergeCell ref="D245:K245"/>
    <mergeCell ref="E246:F246"/>
    <mergeCell ref="H246:L246"/>
    <mergeCell ref="D290:K290"/>
    <mergeCell ref="D291:K291"/>
    <mergeCell ref="D293:K293"/>
    <mergeCell ref="D297:L297"/>
    <mergeCell ref="D298:L298"/>
    <mergeCell ref="D299:L299"/>
    <mergeCell ref="D300:L300"/>
  </mergeCells>
  <printOptions headings="false" gridLines="false" gridLinesSet="true" horizontalCentered="true" verticalCentered="false"/>
  <pageMargins left="0.511805555555555" right="0.511805555555555" top="0.7875" bottom="0.78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9" manualBreakCount="9">
    <brk id="20" man="true" max="16383" min="0"/>
    <brk id="32" man="true" max="16383" min="0"/>
    <brk id="52" man="true" max="16383" min="0"/>
    <brk id="70" man="true" max="16383" min="0"/>
    <brk id="86" man="true" max="16383" min="0"/>
    <brk id="103" man="true" max="16383" min="0"/>
    <brk id="180" man="true" max="16383" min="0"/>
    <brk id="230" man="true" max="16383" min="0"/>
    <brk id="259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D2:Q44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J7" activeCellId="0" sqref="J7"/>
    </sheetView>
  </sheetViews>
  <sheetFormatPr defaultColWidth="8.6875" defaultRowHeight="15" zeroHeight="false" outlineLevelRow="0" outlineLevelCol="0"/>
  <cols>
    <col collapsed="false" customWidth="true" hidden="false" outlineLevel="0" max="5" min="5" style="0" width="27.29"/>
    <col collapsed="false" customWidth="true" hidden="false" outlineLevel="0" max="6" min="6" style="0" width="14.15"/>
    <col collapsed="false" customWidth="true" hidden="false" outlineLevel="0" max="7" min="7" style="0" width="13.7"/>
    <col collapsed="false" customWidth="true" hidden="false" outlineLevel="0" max="8" min="8" style="0" width="12.57"/>
    <col collapsed="false" customWidth="true" hidden="false" outlineLevel="0" max="9" min="9" style="0" width="14.15"/>
    <col collapsed="false" customWidth="true" hidden="false" outlineLevel="0" max="15" min="10" style="0" width="12.57"/>
    <col collapsed="false" customWidth="true" hidden="false" outlineLevel="0" max="16" min="16" style="0" width="14.15"/>
    <col collapsed="false" customWidth="true" hidden="false" outlineLevel="0" max="17" min="17" style="0" width="37.71"/>
    <col collapsed="false" customWidth="true" hidden="false" outlineLevel="0" max="18" min="18" style="0" width="10.99"/>
  </cols>
  <sheetData>
    <row r="2" customFormat="false" ht="32.45" hidden="false" customHeight="true" outlineLevel="0" collapsed="false">
      <c r="D2" s="2" t="s">
        <v>582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Format="false" ht="15.75" hidden="false" customHeight="false" outlineLevel="0" collapsed="false">
      <c r="D3" s="187" t="s">
        <v>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customFormat="false" ht="15.75" hidden="false" customHeight="false" outlineLevel="0" collapsed="false">
      <c r="D4" s="187" t="s">
        <v>2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customFormat="false" ht="26.25" hidden="false" customHeight="false" outlineLevel="0" collapsed="false">
      <c r="D5" s="188" t="s">
        <v>4</v>
      </c>
      <c r="E5" s="188" t="s">
        <v>583</v>
      </c>
      <c r="F5" s="189" t="s">
        <v>584</v>
      </c>
      <c r="G5" s="189" t="s">
        <v>585</v>
      </c>
      <c r="H5" s="189" t="s">
        <v>586</v>
      </c>
      <c r="I5" s="189" t="s">
        <v>587</v>
      </c>
      <c r="J5" s="189" t="s">
        <v>588</v>
      </c>
      <c r="K5" s="189" t="s">
        <v>589</v>
      </c>
      <c r="L5" s="189" t="s">
        <v>590</v>
      </c>
      <c r="M5" s="189" t="s">
        <v>591</v>
      </c>
      <c r="N5" s="189" t="s">
        <v>592</v>
      </c>
      <c r="O5" s="189" t="s">
        <v>593</v>
      </c>
      <c r="P5" s="189" t="s">
        <v>594</v>
      </c>
    </row>
    <row r="6" customFormat="false" ht="15" hidden="false" customHeight="false" outlineLevel="0" collapsed="false">
      <c r="D6" s="190" t="n">
        <v>1</v>
      </c>
      <c r="E6" s="191" t="s">
        <v>595</v>
      </c>
      <c r="F6" s="192" t="n">
        <f aca="false">'Orçamento '!L14+'Orçamento '!L57</f>
        <v>12963.7395</v>
      </c>
      <c r="G6" s="193" t="s">
        <v>596</v>
      </c>
      <c r="H6" s="194" t="n">
        <v>1</v>
      </c>
      <c r="I6" s="195"/>
      <c r="J6" s="195"/>
      <c r="K6" s="195"/>
      <c r="L6" s="195"/>
      <c r="M6" s="195"/>
      <c r="N6" s="195"/>
      <c r="O6" s="195"/>
      <c r="P6" s="195"/>
    </row>
    <row r="7" customFormat="false" ht="15.75" hidden="false" customHeight="false" outlineLevel="0" collapsed="false">
      <c r="D7" s="190"/>
      <c r="E7" s="191"/>
      <c r="F7" s="192"/>
      <c r="G7" s="196" t="s">
        <v>597</v>
      </c>
      <c r="H7" s="197" t="n">
        <f aca="false">F6*H6</f>
        <v>12963.7395</v>
      </c>
      <c r="I7" s="198"/>
      <c r="J7" s="198"/>
      <c r="K7" s="198"/>
      <c r="L7" s="198"/>
      <c r="M7" s="198"/>
      <c r="N7" s="198"/>
      <c r="O7" s="198"/>
      <c r="P7" s="197" t="n">
        <f aca="false">SUM(H7:O7)</f>
        <v>12963.7395</v>
      </c>
    </row>
    <row r="8" customFormat="false" ht="15" hidden="false" customHeight="true" outlineLevel="0" collapsed="false">
      <c r="D8" s="190" t="n">
        <v>2</v>
      </c>
      <c r="E8" s="199" t="s">
        <v>598</v>
      </c>
      <c r="F8" s="192" t="n">
        <f aca="false">'Orçamento '!L28+'Orçamento '!L63+'Orçamento '!L72+'Orçamento '!L84</f>
        <v>115512.347625</v>
      </c>
      <c r="G8" s="193" t="s">
        <v>596</v>
      </c>
      <c r="H8" s="195" t="n">
        <v>0.4</v>
      </c>
      <c r="I8" s="194" t="n">
        <v>0.6</v>
      </c>
      <c r="J8" s="195"/>
      <c r="K8" s="200"/>
      <c r="L8" s="195"/>
      <c r="M8" s="195"/>
      <c r="N8" s="195"/>
      <c r="O8" s="195"/>
      <c r="P8" s="195"/>
    </row>
    <row r="9" customFormat="false" ht="15.75" hidden="false" customHeight="false" outlineLevel="0" collapsed="false">
      <c r="D9" s="190"/>
      <c r="E9" s="199"/>
      <c r="F9" s="192"/>
      <c r="G9" s="196" t="s">
        <v>597</v>
      </c>
      <c r="H9" s="197" t="n">
        <f aca="false">F8*H8</f>
        <v>46204.93905</v>
      </c>
      <c r="I9" s="197" t="n">
        <f aca="false">F8*I8</f>
        <v>69307.408575</v>
      </c>
      <c r="J9" s="197"/>
      <c r="K9" s="198"/>
      <c r="L9" s="197"/>
      <c r="M9" s="197"/>
      <c r="N9" s="197"/>
      <c r="O9" s="197"/>
      <c r="P9" s="197" t="n">
        <f aca="false">SUM(H9:O9)</f>
        <v>115512.347625</v>
      </c>
    </row>
    <row r="10" customFormat="false" ht="15" hidden="false" customHeight="false" outlineLevel="0" collapsed="false">
      <c r="D10" s="190" t="n">
        <v>3</v>
      </c>
      <c r="E10" s="191" t="s">
        <v>599</v>
      </c>
      <c r="F10" s="192" t="n">
        <f aca="false">'Orçamento '!L94+'Orçamento '!L103+'Orçamento '!L106</f>
        <v>205599.62525</v>
      </c>
      <c r="G10" s="193" t="s">
        <v>596</v>
      </c>
      <c r="H10" s="194" t="n">
        <v>0.1</v>
      </c>
      <c r="I10" s="194" t="n">
        <v>0.1</v>
      </c>
      <c r="J10" s="194" t="n">
        <v>0.2</v>
      </c>
      <c r="K10" s="194" t="n">
        <v>0.3</v>
      </c>
      <c r="L10" s="194" t="n">
        <v>0.3</v>
      </c>
      <c r="M10" s="194"/>
      <c r="N10" s="194"/>
      <c r="O10" s="195"/>
      <c r="P10" s="195"/>
    </row>
    <row r="11" customFormat="false" ht="15.75" hidden="false" customHeight="false" outlineLevel="0" collapsed="false">
      <c r="D11" s="190"/>
      <c r="E11" s="191"/>
      <c r="F11" s="192"/>
      <c r="G11" s="196" t="s">
        <v>597</v>
      </c>
      <c r="H11" s="197" t="n">
        <f aca="false">F10*H10</f>
        <v>20559.962525</v>
      </c>
      <c r="I11" s="197" t="n">
        <f aca="false">F10*I10</f>
        <v>20559.962525</v>
      </c>
      <c r="J11" s="197" t="n">
        <f aca="false">F10*J10</f>
        <v>41119.92505</v>
      </c>
      <c r="K11" s="197" t="n">
        <f aca="false">F10*K10</f>
        <v>61679.887575</v>
      </c>
      <c r="L11" s="197" t="n">
        <f aca="false">F10*L10</f>
        <v>61679.887575</v>
      </c>
      <c r="M11" s="197"/>
      <c r="N11" s="197"/>
      <c r="O11" s="197"/>
      <c r="P11" s="197" t="n">
        <f aca="false">SUM(H11:O11)</f>
        <v>205599.62525</v>
      </c>
    </row>
    <row r="12" customFormat="false" ht="15" hidden="false" customHeight="false" outlineLevel="0" collapsed="false">
      <c r="D12" s="190" t="n">
        <v>4</v>
      </c>
      <c r="E12" s="191" t="s">
        <v>27</v>
      </c>
      <c r="F12" s="192" t="n">
        <f aca="false">'Orçamento '!L17+'Orçamento '!L87</f>
        <v>76343.898</v>
      </c>
      <c r="G12" s="193" t="s">
        <v>596</v>
      </c>
      <c r="H12" s="195"/>
      <c r="I12" s="194" t="n">
        <v>0.1</v>
      </c>
      <c r="J12" s="194" t="n">
        <v>0.2</v>
      </c>
      <c r="K12" s="194" t="n">
        <v>0.3</v>
      </c>
      <c r="L12" s="194" t="n">
        <v>0.2</v>
      </c>
      <c r="M12" s="194" t="n">
        <v>0.2</v>
      </c>
      <c r="N12" s="195"/>
      <c r="O12" s="195"/>
      <c r="P12" s="195"/>
    </row>
    <row r="13" customFormat="false" ht="15.75" hidden="false" customHeight="false" outlineLevel="0" collapsed="false">
      <c r="D13" s="190"/>
      <c r="E13" s="191"/>
      <c r="F13" s="192"/>
      <c r="G13" s="196" t="s">
        <v>597</v>
      </c>
      <c r="H13" s="197"/>
      <c r="I13" s="197" t="n">
        <f aca="false">F12*I12</f>
        <v>7634.3898</v>
      </c>
      <c r="J13" s="197" t="n">
        <f aca="false">F12*J12</f>
        <v>15268.7796</v>
      </c>
      <c r="K13" s="197" t="n">
        <f aca="false">F12*K12</f>
        <v>22903.1694</v>
      </c>
      <c r="L13" s="197" t="n">
        <f aca="false">F12*L12</f>
        <v>15268.7796</v>
      </c>
      <c r="M13" s="197" t="n">
        <f aca="false">F12*M12</f>
        <v>15268.7796</v>
      </c>
      <c r="N13" s="197"/>
      <c r="O13" s="197"/>
      <c r="P13" s="197" t="n">
        <f aca="false">SUM(I13:O13)</f>
        <v>76343.898</v>
      </c>
    </row>
    <row r="14" customFormat="false" ht="15" hidden="false" customHeight="false" outlineLevel="0" collapsed="false">
      <c r="D14" s="190" t="n">
        <v>5</v>
      </c>
      <c r="E14" s="191" t="s">
        <v>600</v>
      </c>
      <c r="F14" s="192" t="n">
        <f aca="false">'Orçamento '!L110</f>
        <v>159348.3525</v>
      </c>
      <c r="G14" s="193" t="s">
        <v>596</v>
      </c>
      <c r="H14" s="195"/>
      <c r="I14" s="195"/>
      <c r="J14" s="195"/>
      <c r="K14" s="195" t="n">
        <v>0.2</v>
      </c>
      <c r="L14" s="195" t="n">
        <v>0.3</v>
      </c>
      <c r="M14" s="195" t="n">
        <v>0.3</v>
      </c>
      <c r="N14" s="194" t="n">
        <v>0.2</v>
      </c>
      <c r="O14" s="195"/>
      <c r="P14" s="195"/>
    </row>
    <row r="15" customFormat="false" ht="15.75" hidden="false" customHeight="false" outlineLevel="0" collapsed="false">
      <c r="D15" s="190"/>
      <c r="E15" s="191"/>
      <c r="F15" s="192"/>
      <c r="G15" s="196" t="s">
        <v>597</v>
      </c>
      <c r="H15" s="198"/>
      <c r="I15" s="198"/>
      <c r="J15" s="197"/>
      <c r="K15" s="197" t="n">
        <f aca="false">F14*K14</f>
        <v>31869.6705</v>
      </c>
      <c r="L15" s="197" t="n">
        <f aca="false">F14*L14</f>
        <v>47804.50575</v>
      </c>
      <c r="M15" s="197" t="n">
        <f aca="false">F14*M14</f>
        <v>47804.50575</v>
      </c>
      <c r="N15" s="197" t="n">
        <f aca="false">F14*N14</f>
        <v>31869.6705</v>
      </c>
      <c r="O15" s="197"/>
      <c r="P15" s="197" t="n">
        <f aca="false">SUM(K15:O15)</f>
        <v>159348.3525</v>
      </c>
    </row>
    <row r="16" customFormat="false" ht="15" hidden="false" customHeight="true" outlineLevel="0" collapsed="false">
      <c r="D16" s="190" t="n">
        <v>6</v>
      </c>
      <c r="E16" s="199" t="s">
        <v>601</v>
      </c>
      <c r="F16" s="192" t="n">
        <f aca="false">'Orçamento '!L232</f>
        <v>91217.79475</v>
      </c>
      <c r="G16" s="193" t="s">
        <v>596</v>
      </c>
      <c r="H16" s="195" t="n">
        <v>0.3</v>
      </c>
      <c r="I16" s="194" t="n">
        <v>0.1</v>
      </c>
      <c r="J16" s="194" t="n">
        <v>0.3</v>
      </c>
      <c r="K16" s="194" t="n">
        <v>0.05</v>
      </c>
      <c r="L16" s="194" t="n">
        <v>0.05</v>
      </c>
      <c r="M16" s="194" t="n">
        <v>0.05</v>
      </c>
      <c r="N16" s="194" t="n">
        <v>0.05</v>
      </c>
      <c r="O16" s="194" t="n">
        <v>0.1</v>
      </c>
      <c r="P16" s="195"/>
    </row>
    <row r="17" customFormat="false" ht="15.75" hidden="false" customHeight="false" outlineLevel="0" collapsed="false">
      <c r="D17" s="190"/>
      <c r="E17" s="199"/>
      <c r="F17" s="192"/>
      <c r="G17" s="196" t="s">
        <v>597</v>
      </c>
      <c r="H17" s="197" t="n">
        <f aca="false">F16*H16</f>
        <v>27365.338425</v>
      </c>
      <c r="I17" s="197" t="n">
        <f aca="false">F16*I16</f>
        <v>9121.779475</v>
      </c>
      <c r="J17" s="197" t="n">
        <f aca="false">F16*J16</f>
        <v>27365.338425</v>
      </c>
      <c r="K17" s="197" t="n">
        <f aca="false">F16*K16</f>
        <v>4560.8897375</v>
      </c>
      <c r="L17" s="197" t="n">
        <f aca="false">F16*L16</f>
        <v>4560.8897375</v>
      </c>
      <c r="M17" s="197" t="n">
        <f aca="false">F16*M16</f>
        <v>4560.8897375</v>
      </c>
      <c r="N17" s="197" t="n">
        <f aca="false">F16*N16</f>
        <v>4560.8897375</v>
      </c>
      <c r="O17" s="197" t="n">
        <f aca="false">F16*O16</f>
        <v>9121.779475</v>
      </c>
      <c r="P17" s="197" t="n">
        <f aca="false">SUM(H17:O17)</f>
        <v>91217.79475</v>
      </c>
      <c r="Q17" s="117"/>
    </row>
    <row r="18" customFormat="false" ht="15" hidden="false" customHeight="false" outlineLevel="0" collapsed="false">
      <c r="D18" s="190" t="n">
        <v>7</v>
      </c>
      <c r="E18" s="191" t="s">
        <v>602</v>
      </c>
      <c r="F18" s="192" t="n">
        <f aca="false">'Orçamento '!L290</f>
        <v>61106.406125</v>
      </c>
      <c r="G18" s="193" t="s">
        <v>596</v>
      </c>
      <c r="H18" s="194" t="n">
        <v>0.3</v>
      </c>
      <c r="I18" s="194" t="n">
        <v>0.1</v>
      </c>
      <c r="J18" s="194" t="n">
        <v>0.3</v>
      </c>
      <c r="K18" s="194" t="n">
        <v>0.05</v>
      </c>
      <c r="L18" s="194" t="n">
        <v>0.05</v>
      </c>
      <c r="M18" s="194" t="n">
        <v>0.05</v>
      </c>
      <c r="N18" s="194" t="n">
        <v>0.05</v>
      </c>
      <c r="O18" s="194" t="n">
        <v>0.1</v>
      </c>
      <c r="P18" s="195"/>
    </row>
    <row r="19" customFormat="false" ht="15.75" hidden="false" customHeight="false" outlineLevel="0" collapsed="false">
      <c r="D19" s="190"/>
      <c r="E19" s="191"/>
      <c r="F19" s="192"/>
      <c r="G19" s="196" t="s">
        <v>597</v>
      </c>
      <c r="H19" s="197" t="n">
        <f aca="false">F18*H18</f>
        <v>18331.9218375</v>
      </c>
      <c r="I19" s="197" t="n">
        <f aca="false">F18*I18</f>
        <v>6110.6406125</v>
      </c>
      <c r="J19" s="197" t="n">
        <f aca="false">F18*J18</f>
        <v>18331.9218375</v>
      </c>
      <c r="K19" s="197" t="n">
        <f aca="false">F18*K18</f>
        <v>3055.32030625</v>
      </c>
      <c r="L19" s="197" t="n">
        <f aca="false">F18*L18</f>
        <v>3055.32030625</v>
      </c>
      <c r="M19" s="197" t="n">
        <f aca="false">F18*M18</f>
        <v>3055.32030625</v>
      </c>
      <c r="N19" s="197" t="n">
        <f aca="false">F18*N18</f>
        <v>3055.32030625</v>
      </c>
      <c r="O19" s="197" t="n">
        <f aca="false">F18*O18</f>
        <v>6110.6406125</v>
      </c>
      <c r="P19" s="197" t="n">
        <f aca="false">SUM(H19:O19)</f>
        <v>61106.406125</v>
      </c>
    </row>
    <row r="20" customFormat="false" ht="15" hidden="false" customHeight="true" outlineLevel="0" collapsed="false">
      <c r="D20" s="190" t="n">
        <v>8</v>
      </c>
      <c r="E20" s="199" t="s">
        <v>418</v>
      </c>
      <c r="F20" s="192" t="n">
        <f aca="false">'Orçamento '!L245</f>
        <v>7781.975</v>
      </c>
      <c r="G20" s="193" t="s">
        <v>596</v>
      </c>
      <c r="H20" s="195"/>
      <c r="I20" s="195"/>
      <c r="J20" s="195"/>
      <c r="K20" s="194" t="n">
        <v>0.1</v>
      </c>
      <c r="L20" s="194" t="n">
        <v>0.1</v>
      </c>
      <c r="M20" s="194" t="n">
        <v>0.2</v>
      </c>
      <c r="N20" s="194" t="n">
        <v>0.3</v>
      </c>
      <c r="O20" s="194" t="n">
        <v>0.3</v>
      </c>
      <c r="P20" s="195"/>
    </row>
    <row r="21" customFormat="false" ht="15.75" hidden="false" customHeight="false" outlineLevel="0" collapsed="false">
      <c r="D21" s="190"/>
      <c r="E21" s="199"/>
      <c r="F21" s="192"/>
      <c r="G21" s="196" t="s">
        <v>597</v>
      </c>
      <c r="H21" s="198"/>
      <c r="I21" s="198"/>
      <c r="J21" s="197"/>
      <c r="K21" s="197" t="n">
        <f aca="false">F20*K20</f>
        <v>778.1975</v>
      </c>
      <c r="L21" s="197" t="n">
        <f aca="false">F20*L20</f>
        <v>778.1975</v>
      </c>
      <c r="M21" s="197" t="n">
        <f aca="false">F20*M20</f>
        <v>1556.395</v>
      </c>
      <c r="N21" s="197" t="n">
        <f aca="false">F20*N20</f>
        <v>2334.5925</v>
      </c>
      <c r="O21" s="197" t="n">
        <f aca="false">F20*O20</f>
        <v>2334.5925</v>
      </c>
      <c r="P21" s="197" t="n">
        <f aca="false">SUM(K21:O21)</f>
        <v>7781.975</v>
      </c>
    </row>
    <row r="22" customFormat="false" ht="15" hidden="false" customHeight="false" outlineLevel="0" collapsed="false">
      <c r="D22" s="190" t="n">
        <v>9</v>
      </c>
      <c r="E22" s="191" t="s">
        <v>603</v>
      </c>
      <c r="F22" s="192" t="n">
        <f aca="false">'Orçamento '!L25+'Orçamento '!L135</f>
        <v>185993.707875</v>
      </c>
      <c r="G22" s="193" t="s">
        <v>596</v>
      </c>
      <c r="H22" s="195"/>
      <c r="I22" s="195"/>
      <c r="J22" s="195"/>
      <c r="K22" s="194" t="n">
        <v>0.2</v>
      </c>
      <c r="L22" s="194" t="n">
        <v>0.1</v>
      </c>
      <c r="M22" s="194" t="n">
        <v>0.2</v>
      </c>
      <c r="N22" s="194" t="n">
        <v>0.2</v>
      </c>
      <c r="O22" s="194" t="n">
        <v>0.3</v>
      </c>
      <c r="P22" s="195"/>
    </row>
    <row r="23" customFormat="false" ht="15.75" hidden="false" customHeight="false" outlineLevel="0" collapsed="false">
      <c r="D23" s="190"/>
      <c r="E23" s="191"/>
      <c r="F23" s="192"/>
      <c r="G23" s="196" t="s">
        <v>597</v>
      </c>
      <c r="H23" s="198"/>
      <c r="I23" s="198"/>
      <c r="J23" s="197"/>
      <c r="K23" s="197" t="n">
        <f aca="false">F22*K22</f>
        <v>37198.741575</v>
      </c>
      <c r="L23" s="197" t="n">
        <f aca="false">F22*L22</f>
        <v>18599.3707875</v>
      </c>
      <c r="M23" s="197" t="n">
        <f aca="false">F22*M22</f>
        <v>37198.741575</v>
      </c>
      <c r="N23" s="197" t="n">
        <f aca="false">F22*N22</f>
        <v>37198.741575</v>
      </c>
      <c r="O23" s="197" t="n">
        <f aca="false">F22*O22</f>
        <v>55798.1123625</v>
      </c>
      <c r="P23" s="197" t="n">
        <f aca="false">SUM(K23:O23)</f>
        <v>185993.707875</v>
      </c>
    </row>
    <row r="24" customFormat="false" ht="15" hidden="false" customHeight="true" outlineLevel="0" collapsed="false">
      <c r="D24" s="190" t="n">
        <v>10</v>
      </c>
      <c r="E24" s="199" t="s">
        <v>604</v>
      </c>
      <c r="F24" s="192" t="n">
        <f aca="false">'Orçamento '!L34+'Orçamento '!L116</f>
        <v>135218.887375</v>
      </c>
      <c r="G24" s="193" t="s">
        <v>596</v>
      </c>
      <c r="H24" s="195"/>
      <c r="I24" s="195"/>
      <c r="J24" s="194" t="n">
        <v>0.1</v>
      </c>
      <c r="K24" s="194" t="n">
        <v>0.1</v>
      </c>
      <c r="L24" s="195" t="n">
        <v>0.1</v>
      </c>
      <c r="M24" s="194" t="n">
        <v>0.2</v>
      </c>
      <c r="N24" s="194" t="n">
        <v>0.3</v>
      </c>
      <c r="O24" s="194" t="n">
        <v>0.2</v>
      </c>
      <c r="P24" s="195"/>
    </row>
    <row r="25" customFormat="false" ht="15.75" hidden="false" customHeight="false" outlineLevel="0" collapsed="false">
      <c r="D25" s="190"/>
      <c r="E25" s="199"/>
      <c r="F25" s="192"/>
      <c r="G25" s="196" t="s">
        <v>597</v>
      </c>
      <c r="H25" s="198"/>
      <c r="I25" s="198"/>
      <c r="J25" s="197" t="n">
        <f aca="false">F24*J24</f>
        <v>13521.8887375</v>
      </c>
      <c r="K25" s="197" t="n">
        <f aca="false">F24*K24</f>
        <v>13521.8887375</v>
      </c>
      <c r="L25" s="197" t="n">
        <f aca="false">F24*L24</f>
        <v>13521.8887375</v>
      </c>
      <c r="M25" s="197" t="n">
        <f aca="false">F24*M24</f>
        <v>27043.777475</v>
      </c>
      <c r="N25" s="197" t="n">
        <f aca="false">F24*N24</f>
        <v>40565.6662125</v>
      </c>
      <c r="O25" s="197" t="n">
        <f aca="false">F24*O24</f>
        <v>27043.777475</v>
      </c>
      <c r="P25" s="197" t="n">
        <f aca="false">SUM(J25:O25)</f>
        <v>135218.887375</v>
      </c>
    </row>
    <row r="26" customFormat="false" ht="15" hidden="false" customHeight="true" outlineLevel="0" collapsed="false">
      <c r="D26" s="190" t="n">
        <v>11</v>
      </c>
      <c r="E26" s="199" t="s">
        <v>605</v>
      </c>
      <c r="F26" s="192" t="n">
        <f aca="false">'Orçamento '!L38+'Orçamento '!L121</f>
        <v>153906.55875</v>
      </c>
      <c r="G26" s="193" t="s">
        <v>596</v>
      </c>
      <c r="H26" s="195"/>
      <c r="I26" s="194"/>
      <c r="J26" s="194"/>
      <c r="K26" s="194" t="n">
        <v>0.1</v>
      </c>
      <c r="L26" s="194" t="n">
        <v>0.1</v>
      </c>
      <c r="M26" s="194" t="n">
        <v>0.2</v>
      </c>
      <c r="N26" s="194" t="n">
        <v>0.2</v>
      </c>
      <c r="O26" s="194" t="n">
        <v>0.4</v>
      </c>
      <c r="P26" s="195"/>
    </row>
    <row r="27" customFormat="false" ht="15.75" hidden="false" customHeight="false" outlineLevel="0" collapsed="false">
      <c r="D27" s="190"/>
      <c r="E27" s="199"/>
      <c r="F27" s="192"/>
      <c r="G27" s="196" t="s">
        <v>597</v>
      </c>
      <c r="H27" s="198"/>
      <c r="I27" s="197"/>
      <c r="J27" s="197"/>
      <c r="K27" s="197" t="n">
        <f aca="false">F26*K26</f>
        <v>15390.655875</v>
      </c>
      <c r="L27" s="197" t="n">
        <f aca="false">F26*L26</f>
        <v>15390.655875</v>
      </c>
      <c r="M27" s="197" t="n">
        <f aca="false">F26*M26</f>
        <v>30781.31175</v>
      </c>
      <c r="N27" s="197" t="n">
        <f aca="false">F26*N26</f>
        <v>30781.31175</v>
      </c>
      <c r="O27" s="197" t="n">
        <f aca="false">F26*O26</f>
        <v>61562.6235</v>
      </c>
      <c r="P27" s="197" t="n">
        <f aca="false">SUM(K27:O27)</f>
        <v>153906.55875</v>
      </c>
    </row>
    <row r="28" customFormat="false" ht="15" hidden="false" customHeight="true" outlineLevel="0" collapsed="false">
      <c r="D28" s="190" t="n">
        <v>12</v>
      </c>
      <c r="E28" s="199" t="s">
        <v>84</v>
      </c>
      <c r="F28" s="192" t="n">
        <f aca="false">'Orçamento '!L43+'Orçamento '!L144</f>
        <v>47406.249875</v>
      </c>
      <c r="G28" s="193" t="s">
        <v>596</v>
      </c>
      <c r="H28" s="195"/>
      <c r="I28" s="195"/>
      <c r="J28" s="194" t="n">
        <v>0.2</v>
      </c>
      <c r="K28" s="194" t="n">
        <v>0.1</v>
      </c>
      <c r="L28" s="194" t="n">
        <v>0.1</v>
      </c>
      <c r="M28" s="194" t="n">
        <v>0.1</v>
      </c>
      <c r="N28" s="194" t="n">
        <v>0.2</v>
      </c>
      <c r="O28" s="194" t="n">
        <v>0.3</v>
      </c>
      <c r="P28" s="195"/>
    </row>
    <row r="29" customFormat="false" ht="15.75" hidden="false" customHeight="false" outlineLevel="0" collapsed="false">
      <c r="D29" s="190"/>
      <c r="E29" s="199"/>
      <c r="F29" s="192"/>
      <c r="G29" s="196" t="s">
        <v>597</v>
      </c>
      <c r="H29" s="198"/>
      <c r="I29" s="198"/>
      <c r="J29" s="197" t="n">
        <f aca="false">F28*J28</f>
        <v>9481.249975</v>
      </c>
      <c r="K29" s="197" t="n">
        <f aca="false">F28*K28</f>
        <v>4740.6249875</v>
      </c>
      <c r="L29" s="197" t="n">
        <f aca="false">F28*L28</f>
        <v>4740.6249875</v>
      </c>
      <c r="M29" s="197" t="n">
        <f aca="false">F28*M28</f>
        <v>4740.6249875</v>
      </c>
      <c r="N29" s="197" t="n">
        <f aca="false">F28*N28</f>
        <v>9481.249975</v>
      </c>
      <c r="O29" s="197" t="n">
        <f aca="false">F28*O28</f>
        <v>14221.8749625</v>
      </c>
      <c r="P29" s="197" t="n">
        <f aca="false">SUM(J29:O29)</f>
        <v>47406.249875</v>
      </c>
    </row>
    <row r="30" customFormat="false" ht="15" hidden="false" customHeight="true" outlineLevel="0" collapsed="false">
      <c r="D30" s="190" t="n">
        <v>13</v>
      </c>
      <c r="E30" s="199" t="s">
        <v>606</v>
      </c>
      <c r="F30" s="192" t="n">
        <f aca="false">'Orçamento '!L47+'Orçamento '!L139</f>
        <v>13001.7285</v>
      </c>
      <c r="G30" s="193" t="s">
        <v>596</v>
      </c>
      <c r="H30" s="195"/>
      <c r="I30" s="195"/>
      <c r="J30" s="195" t="n">
        <v>0.3</v>
      </c>
      <c r="K30" s="194" t="n">
        <v>0.1</v>
      </c>
      <c r="L30" s="194" t="n">
        <v>0.2</v>
      </c>
      <c r="M30" s="194" t="n">
        <v>0.2</v>
      </c>
      <c r="N30" s="194" t="n">
        <v>0.2</v>
      </c>
      <c r="O30" s="195"/>
      <c r="P30" s="195"/>
    </row>
    <row r="31" customFormat="false" ht="15.75" hidden="false" customHeight="false" outlineLevel="0" collapsed="false">
      <c r="D31" s="190"/>
      <c r="E31" s="199"/>
      <c r="F31" s="192"/>
      <c r="G31" s="196" t="s">
        <v>597</v>
      </c>
      <c r="H31" s="198"/>
      <c r="I31" s="198"/>
      <c r="J31" s="197" t="n">
        <f aca="false">F30*J30</f>
        <v>3900.51855</v>
      </c>
      <c r="K31" s="197" t="n">
        <f aca="false">F30*K30</f>
        <v>1300.17285</v>
      </c>
      <c r="L31" s="197" t="n">
        <f aca="false">F30*L30</f>
        <v>2600.3457</v>
      </c>
      <c r="M31" s="197" t="n">
        <f aca="false">F30*M30</f>
        <v>2600.3457</v>
      </c>
      <c r="N31" s="197" t="n">
        <f aca="false">F30*N30</f>
        <v>2600.3457</v>
      </c>
      <c r="O31" s="197"/>
      <c r="P31" s="197" t="n">
        <f aca="false">SUM(J31:O31)</f>
        <v>13001.7285</v>
      </c>
    </row>
    <row r="32" customFormat="false" ht="15" hidden="false" customHeight="true" outlineLevel="0" collapsed="false">
      <c r="D32" s="190" t="n">
        <v>14</v>
      </c>
      <c r="E32" s="199" t="s">
        <v>104</v>
      </c>
      <c r="F32" s="192" t="n">
        <f aca="false">'Orçamento '!L50+'Orçamento '!L147</f>
        <v>1501.10825</v>
      </c>
      <c r="G32" s="193" t="s">
        <v>596</v>
      </c>
      <c r="H32" s="195"/>
      <c r="I32" s="195"/>
      <c r="J32" s="195"/>
      <c r="K32" s="195"/>
      <c r="L32" s="195"/>
      <c r="M32" s="195"/>
      <c r="N32" s="195"/>
      <c r="O32" s="194" t="n">
        <v>1</v>
      </c>
      <c r="P32" s="195"/>
    </row>
    <row r="33" customFormat="false" ht="15.75" hidden="false" customHeight="false" outlineLevel="0" collapsed="false">
      <c r="D33" s="190"/>
      <c r="E33" s="199"/>
      <c r="F33" s="192"/>
      <c r="G33" s="196" t="s">
        <v>597</v>
      </c>
      <c r="H33" s="198"/>
      <c r="I33" s="198"/>
      <c r="J33" s="197"/>
      <c r="K33" s="197"/>
      <c r="L33" s="197"/>
      <c r="M33" s="197"/>
      <c r="N33" s="197"/>
      <c r="O33" s="197" t="n">
        <f aca="false">F32*O32</f>
        <v>1501.10825</v>
      </c>
      <c r="P33" s="197" t="n">
        <f aca="false">SUM(O33)</f>
        <v>1501.10825</v>
      </c>
    </row>
    <row r="34" customFormat="false" ht="15" hidden="false" customHeight="false" outlineLevel="0" collapsed="false">
      <c r="D34" s="201" t="s">
        <v>607</v>
      </c>
      <c r="E34" s="201"/>
      <c r="F34" s="202" t="n">
        <f aca="false">SUM(F6:F33)</f>
        <v>1266902.379375</v>
      </c>
      <c r="G34" s="203" t="s">
        <v>596</v>
      </c>
      <c r="H34" s="204" t="n">
        <f aca="false">H35/F34</f>
        <v>0.0990020252384215</v>
      </c>
      <c r="I34" s="204" t="n">
        <f aca="false">I35/F34</f>
        <v>0.088984110238324</v>
      </c>
      <c r="J34" s="204" t="n">
        <f aca="false">J35/F34</f>
        <v>0.101814965600297</v>
      </c>
      <c r="K34" s="204" t="n">
        <f aca="false">K35/F34</f>
        <v>0.155496763011003</v>
      </c>
      <c r="L34" s="204" t="n">
        <f aca="false">L35/F34</f>
        <v>0.148393806513329</v>
      </c>
      <c r="M34" s="204" t="n">
        <f aca="false">M35/F34</f>
        <v>0.137824898527218</v>
      </c>
      <c r="N34" s="204" t="n">
        <f aca="false">N35/F34</f>
        <v>0.128224392740023</v>
      </c>
      <c r="O34" s="204" t="n">
        <f aca="false">O35/F34</f>
        <v>0.140259038131385</v>
      </c>
      <c r="P34" s="205" t="n">
        <f aca="false">P35/F34</f>
        <v>1</v>
      </c>
    </row>
    <row r="35" customFormat="false" ht="15.75" hidden="false" customHeight="false" outlineLevel="0" collapsed="false">
      <c r="D35" s="201"/>
      <c r="E35" s="201"/>
      <c r="F35" s="202"/>
      <c r="G35" s="206" t="s">
        <v>597</v>
      </c>
      <c r="H35" s="207" t="n">
        <f aca="false">H7+H9+H11+H17+H19</f>
        <v>125425.9013375</v>
      </c>
      <c r="I35" s="207" t="n">
        <f aca="false">I9+I11+I13+I17+I19</f>
        <v>112734.1809875</v>
      </c>
      <c r="J35" s="207" t="n">
        <f aca="false">J11+J13+J17+J19+J25+J29+J31</f>
        <v>128989.622175</v>
      </c>
      <c r="K35" s="207" t="n">
        <f aca="false">K11+K13+K15+K17+K19+K21+K23+K25+K27+K29+K31</f>
        <v>196999.21904375</v>
      </c>
      <c r="L35" s="207" t="n">
        <f aca="false">L11+L13+L15+L17+L19+L21+L23+L25+L27+L29+L31</f>
        <v>188000.46655625</v>
      </c>
      <c r="M35" s="207" t="n">
        <f aca="false">M13+M15+M17+M19+M21+M23+M25+M27+M29+M31</f>
        <v>174610.69188125</v>
      </c>
      <c r="N35" s="207" t="n">
        <f aca="false">N15+N17+N19+N21+N23+N25+N27+N29+N31</f>
        <v>162447.78825625</v>
      </c>
      <c r="O35" s="207" t="n">
        <f aca="false">O17+O19+O21+O23+O25+O27+O29+O33</f>
        <v>177694.5091375</v>
      </c>
      <c r="P35" s="208" t="n">
        <f aca="false">SUM(H35:O35)</f>
        <v>1266902.379375</v>
      </c>
    </row>
    <row r="36" customFormat="false" ht="15" hidden="false" customHeight="false" outlineLevel="0" collapsed="false">
      <c r="D36" s="75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76"/>
    </row>
    <row r="37" customFormat="false" ht="15.75" hidden="false" customHeight="false" outlineLevel="0" collapsed="false">
      <c r="D37" s="50"/>
      <c r="E37" s="51"/>
      <c r="F37" s="51"/>
      <c r="G37" s="51"/>
      <c r="H37" s="51"/>
      <c r="I37" s="51"/>
      <c r="J37" s="51"/>
      <c r="K37" s="51"/>
      <c r="L37" s="51"/>
      <c r="M37" s="63"/>
      <c r="N37" s="63"/>
      <c r="O37" s="63"/>
      <c r="P37" s="76"/>
    </row>
    <row r="38" customFormat="false" ht="15.75" hidden="false" customHeight="false" outlineLevel="0" collapsed="false">
      <c r="D38" s="50"/>
      <c r="E38" s="51"/>
      <c r="F38" s="51"/>
      <c r="G38" s="51"/>
      <c r="H38" s="51"/>
      <c r="I38" s="51"/>
      <c r="J38" s="51"/>
      <c r="K38" s="51"/>
      <c r="L38" s="51"/>
      <c r="M38" s="63"/>
      <c r="N38" s="63"/>
      <c r="O38" s="63"/>
      <c r="P38" s="76"/>
    </row>
    <row r="39" customFormat="false" ht="15.75" hidden="false" customHeight="false" outlineLevel="0" collapsed="false">
      <c r="D39" s="53"/>
      <c r="E39" s="178"/>
      <c r="F39" s="178"/>
      <c r="G39" s="179"/>
      <c r="H39" s="180"/>
      <c r="I39" s="57"/>
      <c r="J39" s="181"/>
      <c r="K39" s="209"/>
      <c r="L39" s="209"/>
      <c r="M39" s="63"/>
      <c r="N39" s="63"/>
      <c r="O39" s="63"/>
      <c r="P39" s="76"/>
    </row>
    <row r="40" customFormat="false" ht="15" hidden="false" customHeight="false" outlineLevel="0" collapsed="false">
      <c r="D40" s="110" t="s">
        <v>529</v>
      </c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customFormat="false" ht="15" hidden="false" customHeight="false" outlineLevel="0" collapsed="false">
      <c r="D41" s="110" t="s">
        <v>530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customFormat="false" ht="15" hidden="false" customHeight="false" outlineLevel="0" collapsed="false">
      <c r="D42" s="110" t="s">
        <v>531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</row>
    <row r="43" customFormat="false" ht="15" hidden="false" customHeight="false" outlineLevel="0" collapsed="false">
      <c r="D43" s="111" t="s">
        <v>532</v>
      </c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customFormat="false" ht="15" hidden="false" customHeight="false" outlineLevel="0" collapsed="false">
      <c r="D44" s="63"/>
      <c r="E44" s="63"/>
      <c r="F44" s="63"/>
      <c r="G44" s="63"/>
      <c r="H44" s="63"/>
      <c r="I44" s="63"/>
      <c r="J44" s="63"/>
      <c r="K44" s="63"/>
      <c r="L44" s="63"/>
    </row>
  </sheetData>
  <mergeCells count="51">
    <mergeCell ref="D2:P2"/>
    <mergeCell ref="D3:P3"/>
    <mergeCell ref="D4:P4"/>
    <mergeCell ref="D6:D7"/>
    <mergeCell ref="E6:E7"/>
    <mergeCell ref="F6:F7"/>
    <mergeCell ref="D8:D9"/>
    <mergeCell ref="E8:E9"/>
    <mergeCell ref="F8:F9"/>
    <mergeCell ref="D10:D11"/>
    <mergeCell ref="E10:E11"/>
    <mergeCell ref="F10:F11"/>
    <mergeCell ref="D12:D13"/>
    <mergeCell ref="E12:E13"/>
    <mergeCell ref="F12:F13"/>
    <mergeCell ref="D14:D15"/>
    <mergeCell ref="E14:E15"/>
    <mergeCell ref="F14:F15"/>
    <mergeCell ref="D16:D17"/>
    <mergeCell ref="E16:E17"/>
    <mergeCell ref="F16:F17"/>
    <mergeCell ref="D18:D19"/>
    <mergeCell ref="E18:E19"/>
    <mergeCell ref="F18:F19"/>
    <mergeCell ref="D20:D21"/>
    <mergeCell ref="E20:E21"/>
    <mergeCell ref="F20:F21"/>
    <mergeCell ref="D22:D23"/>
    <mergeCell ref="E22:E23"/>
    <mergeCell ref="F22:F23"/>
    <mergeCell ref="D24:D25"/>
    <mergeCell ref="E24:E25"/>
    <mergeCell ref="F24:F25"/>
    <mergeCell ref="D26:D27"/>
    <mergeCell ref="E26:E27"/>
    <mergeCell ref="F26:F27"/>
    <mergeCell ref="D28:D29"/>
    <mergeCell ref="E28:E29"/>
    <mergeCell ref="F28:F29"/>
    <mergeCell ref="D30:D31"/>
    <mergeCell ref="E30:E31"/>
    <mergeCell ref="F30:F31"/>
    <mergeCell ref="D32:D33"/>
    <mergeCell ref="E32:E33"/>
    <mergeCell ref="F32:F33"/>
    <mergeCell ref="D34:E35"/>
    <mergeCell ref="F34:F35"/>
    <mergeCell ref="D40:P40"/>
    <mergeCell ref="D41:P41"/>
    <mergeCell ref="D42:P42"/>
    <mergeCell ref="D43:P43"/>
  </mergeCells>
  <printOptions headings="false" gridLines="false" gridLinesSet="true" horizontalCentered="true" verticalCentered="false"/>
  <pageMargins left="0.315277777777778" right="0.315277777777778" top="0.39375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2020-02-06T18:01:06Z</dcterms:created>
  <dc:creator>Paulo Víctor</dc:creator>
  <dc:description/>
  <dc:language>pt-BR</dc:language>
  <cp:lastModifiedBy>pc-usuario</cp:lastModifiedBy>
  <cp:lastPrinted>2021-10-06T20:35:47Z</cp:lastPrinted>
  <dcterms:modified xsi:type="dcterms:W3CDTF">2021-10-07T17:03:16Z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