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eche Maria Conceição  - Reforma e Ampliação\"/>
    </mc:Choice>
  </mc:AlternateContent>
  <bookViews>
    <workbookView xWindow="-120" yWindow="-120" windowWidth="20730" windowHeight="11160"/>
  </bookViews>
  <sheets>
    <sheet name="Memória de Cálculo " sheetId="4" r:id="rId1"/>
    <sheet name="BDI" sheetId="5" r:id="rId2"/>
    <sheet name="Orçamento " sheetId="1" r:id="rId3"/>
    <sheet name="Cronograma " sheetId="3" r:id="rId4"/>
  </sheets>
  <definedNames>
    <definedName name="_xlnm.Print_Area" localSheetId="1">BDI!$G$2:$P$58</definedName>
    <definedName name="_xlnm.Print_Area" localSheetId="3">'Cronograma '!$D$2:$P$43</definedName>
    <definedName name="_xlnm.Print_Area" localSheetId="0">'Memória de Cálculo '!$B$2:$H$266</definedName>
    <definedName name="_xlnm.Print_Area" localSheetId="2">'Orçamento '!$D$3:$L$52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6" i="1" l="1"/>
  <c r="L116" i="1"/>
  <c r="L14" i="1"/>
  <c r="K134" i="1"/>
  <c r="L134" i="1" s="1"/>
  <c r="K231" i="1"/>
  <c r="L231" i="1" s="1"/>
  <c r="K133" i="1" l="1"/>
  <c r="L133" i="1" s="1"/>
  <c r="K132" i="1"/>
  <c r="L132" i="1" s="1"/>
  <c r="K131" i="1"/>
  <c r="L131" i="1" s="1"/>
  <c r="K130" i="1"/>
  <c r="L130" i="1" s="1"/>
  <c r="K129" i="1"/>
  <c r="L129" i="1" s="1"/>
  <c r="K126" i="1"/>
  <c r="L126" i="1" s="1"/>
  <c r="K127" i="1"/>
  <c r="L127" i="1" s="1"/>
  <c r="K128" i="1"/>
  <c r="L128" i="1" s="1"/>
  <c r="K21" i="1"/>
  <c r="L21" i="1" s="1"/>
  <c r="K22" i="1"/>
  <c r="L22" i="1" s="1"/>
  <c r="K23" i="1"/>
  <c r="L23" i="1" s="1"/>
  <c r="K24" i="1"/>
  <c r="L24" i="1" s="1"/>
  <c r="P14" i="5"/>
  <c r="P13" i="5"/>
  <c r="P12" i="5"/>
  <c r="P11" i="5"/>
  <c r="P10" i="5"/>
  <c r="J38" i="5" l="1"/>
  <c r="H256" i="4"/>
  <c r="H252" i="4"/>
  <c r="H251" i="4"/>
  <c r="H250" i="4"/>
  <c r="H240" i="4"/>
  <c r="H239" i="4"/>
  <c r="H238" i="4"/>
  <c r="H237" i="4"/>
  <c r="H236" i="4"/>
  <c r="H235" i="4"/>
  <c r="H233" i="4"/>
  <c r="H232" i="4"/>
  <c r="H231" i="4"/>
  <c r="H230" i="4"/>
  <c r="H229" i="4"/>
  <c r="H228" i="4"/>
  <c r="H226" i="4"/>
  <c r="H224" i="4"/>
  <c r="H223" i="4"/>
  <c r="H222" i="4"/>
  <c r="H217" i="4"/>
  <c r="G256" i="4"/>
  <c r="G252" i="4"/>
  <c r="G251" i="4"/>
  <c r="G250" i="4"/>
  <c r="G240" i="4"/>
  <c r="G239" i="4"/>
  <c r="G238" i="4"/>
  <c r="G237" i="4"/>
  <c r="G236" i="4"/>
  <c r="G235" i="4"/>
  <c r="G233" i="4"/>
  <c r="G232" i="4"/>
  <c r="G231" i="4"/>
  <c r="G230" i="4"/>
  <c r="G229" i="4"/>
  <c r="G228" i="4"/>
  <c r="G226" i="4"/>
  <c r="G224" i="4"/>
  <c r="G223" i="4"/>
  <c r="G222" i="4"/>
  <c r="G217" i="4"/>
  <c r="H129" i="4"/>
  <c r="H130" i="4"/>
  <c r="H133" i="4"/>
  <c r="H136" i="4"/>
  <c r="H160" i="4"/>
  <c r="H161" i="4"/>
  <c r="G161" i="4"/>
  <c r="G160" i="4"/>
  <c r="G136" i="4"/>
  <c r="G133" i="4"/>
  <c r="G130" i="4"/>
  <c r="G129" i="4"/>
  <c r="H117" i="4" l="1"/>
  <c r="H116" i="4"/>
  <c r="H93" i="4"/>
  <c r="H92" i="4"/>
  <c r="H94" i="4"/>
  <c r="H91" i="4"/>
  <c r="H89" i="4"/>
  <c r="H88" i="4"/>
  <c r="H86" i="4"/>
  <c r="H83" i="4"/>
  <c r="H78" i="4"/>
  <c r="H75" i="4"/>
  <c r="H74" i="4"/>
  <c r="H73" i="4"/>
  <c r="H70" i="4"/>
  <c r="H68" i="4"/>
  <c r="H67" i="4"/>
  <c r="H66" i="4"/>
  <c r="H61" i="4"/>
  <c r="H62" i="4"/>
  <c r="H63" i="4"/>
  <c r="H64" i="4"/>
  <c r="H65" i="4"/>
  <c r="H59" i="4"/>
  <c r="H57" i="4"/>
  <c r="H55" i="4"/>
  <c r="H53" i="4"/>
  <c r="H52" i="4"/>
  <c r="H51" i="4"/>
  <c r="H48" i="4"/>
  <c r="H47" i="4"/>
  <c r="H46" i="4"/>
  <c r="H43" i="4"/>
  <c r="H39" i="4"/>
  <c r="H32" i="4"/>
  <c r="H30" i="4"/>
  <c r="H29" i="4"/>
  <c r="H27" i="4"/>
  <c r="H25" i="4"/>
  <c r="H24" i="4"/>
  <c r="H22" i="4"/>
  <c r="K46" i="1"/>
  <c r="L46" i="1" s="1"/>
  <c r="K45" i="1"/>
  <c r="L45" i="1" s="1"/>
  <c r="H13" i="4"/>
  <c r="H11" i="4"/>
  <c r="L47" i="1" l="1"/>
  <c r="K100" i="1" l="1"/>
  <c r="L100" i="1" s="1"/>
  <c r="K98" i="1"/>
  <c r="L98" i="1" s="1"/>
  <c r="K99" i="1"/>
  <c r="K97" i="1"/>
  <c r="L97" i="1" s="1"/>
  <c r="K138" i="1"/>
  <c r="L138" i="1" s="1"/>
  <c r="K80" i="1"/>
  <c r="L80" i="1" s="1"/>
  <c r="K78" i="1"/>
  <c r="L78" i="1" s="1"/>
  <c r="K49" i="1"/>
  <c r="L49" i="1" s="1"/>
  <c r="L50" i="1" s="1"/>
  <c r="K20" i="1" l="1"/>
  <c r="K19" i="1"/>
  <c r="L19" i="1" s="1"/>
  <c r="K248" i="1" l="1"/>
  <c r="K249" i="1"/>
  <c r="L249" i="1" s="1"/>
  <c r="K250" i="1"/>
  <c r="L250" i="1" s="1"/>
  <c r="K251" i="1"/>
  <c r="L251" i="1" s="1"/>
  <c r="K252" i="1"/>
  <c r="L252" i="1" s="1"/>
  <c r="K253" i="1"/>
  <c r="K254" i="1"/>
  <c r="K255" i="1"/>
  <c r="K256" i="1"/>
  <c r="L256" i="1" s="1"/>
  <c r="K257" i="1"/>
  <c r="K258" i="1"/>
  <c r="L258" i="1" s="1"/>
  <c r="K259" i="1"/>
  <c r="K260" i="1"/>
  <c r="K261" i="1"/>
  <c r="K262" i="1"/>
  <c r="K263" i="1"/>
  <c r="K264" i="1"/>
  <c r="K265" i="1"/>
  <c r="L265" i="1" s="1"/>
  <c r="K266" i="1"/>
  <c r="K267" i="1"/>
  <c r="K268" i="1"/>
  <c r="K269" i="1"/>
  <c r="K270" i="1"/>
  <c r="K271" i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K282" i="1"/>
  <c r="K283" i="1"/>
  <c r="K284" i="1"/>
  <c r="L284" i="1" s="1"/>
  <c r="K285" i="1"/>
  <c r="L285" i="1" s="1"/>
  <c r="K286" i="1"/>
  <c r="L286" i="1" s="1"/>
  <c r="K287" i="1"/>
  <c r="K288" i="1"/>
  <c r="L288" i="1" s="1"/>
  <c r="K289" i="1"/>
  <c r="L289" i="1" s="1"/>
  <c r="K247" i="1"/>
  <c r="L247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34" i="1"/>
  <c r="L234" i="1" s="1"/>
  <c r="K154" i="1"/>
  <c r="L154" i="1" s="1"/>
  <c r="K155" i="1"/>
  <c r="L155" i="1" s="1"/>
  <c r="K156" i="1"/>
  <c r="K157" i="1"/>
  <c r="L157" i="1" s="1"/>
  <c r="K158" i="1"/>
  <c r="K159" i="1"/>
  <c r="K160" i="1"/>
  <c r="L160" i="1" s="1"/>
  <c r="K161" i="1"/>
  <c r="L161" i="1" s="1"/>
  <c r="K162" i="1"/>
  <c r="K163" i="1"/>
  <c r="L163" i="1" s="1"/>
  <c r="K164" i="1"/>
  <c r="L164" i="1" s="1"/>
  <c r="K165" i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K190" i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153" i="1"/>
  <c r="L153" i="1" s="1"/>
  <c r="K124" i="1"/>
  <c r="L124" i="1" s="1"/>
  <c r="K125" i="1"/>
  <c r="L125" i="1" s="1"/>
  <c r="K123" i="1"/>
  <c r="L123" i="1" s="1"/>
  <c r="K119" i="1"/>
  <c r="L119" i="1" s="1"/>
  <c r="K120" i="1"/>
  <c r="L120" i="1" s="1"/>
  <c r="K118" i="1"/>
  <c r="L118" i="1" s="1"/>
  <c r="K146" i="1"/>
  <c r="L146" i="1" s="1"/>
  <c r="L147" i="1" s="1"/>
  <c r="F32" i="3" s="1"/>
  <c r="O33" i="3" s="1"/>
  <c r="P33" i="3" s="1"/>
  <c r="K142" i="1"/>
  <c r="L142" i="1" s="1"/>
  <c r="K143" i="1"/>
  <c r="L143" i="1" s="1"/>
  <c r="K141" i="1"/>
  <c r="L141" i="1" s="1"/>
  <c r="K137" i="1"/>
  <c r="L137" i="1" s="1"/>
  <c r="L139" i="1" s="1"/>
  <c r="F30" i="3" s="1"/>
  <c r="K113" i="1"/>
  <c r="L113" i="1" s="1"/>
  <c r="K114" i="1"/>
  <c r="L114" i="1" s="1"/>
  <c r="K115" i="1"/>
  <c r="L115" i="1" s="1"/>
  <c r="K112" i="1"/>
  <c r="L112" i="1" s="1"/>
  <c r="K109" i="1"/>
  <c r="L109" i="1" s="1"/>
  <c r="K108" i="1"/>
  <c r="L108" i="1" s="1"/>
  <c r="K105" i="1"/>
  <c r="L105" i="1" s="1"/>
  <c r="L106" i="1" s="1"/>
  <c r="L99" i="1"/>
  <c r="K101" i="1"/>
  <c r="L101" i="1" s="1"/>
  <c r="K102" i="1"/>
  <c r="L102" i="1" s="1"/>
  <c r="K96" i="1"/>
  <c r="L96" i="1" s="1"/>
  <c r="K90" i="1"/>
  <c r="L90" i="1" s="1"/>
  <c r="K91" i="1"/>
  <c r="L91" i="1" s="1"/>
  <c r="K92" i="1"/>
  <c r="L92" i="1" s="1"/>
  <c r="K93" i="1"/>
  <c r="L93" i="1" s="1"/>
  <c r="K89" i="1"/>
  <c r="L89" i="1" s="1"/>
  <c r="K86" i="1"/>
  <c r="L86" i="1" s="1"/>
  <c r="L87" i="1" s="1"/>
  <c r="K75" i="1"/>
  <c r="L75" i="1" s="1"/>
  <c r="K76" i="1"/>
  <c r="L76" i="1" s="1"/>
  <c r="K77" i="1"/>
  <c r="L77" i="1" s="1"/>
  <c r="K79" i="1"/>
  <c r="L79" i="1" s="1"/>
  <c r="K81" i="1"/>
  <c r="L81" i="1" s="1"/>
  <c r="K82" i="1"/>
  <c r="L82" i="1" s="1"/>
  <c r="K83" i="1"/>
  <c r="L83" i="1" s="1"/>
  <c r="K74" i="1"/>
  <c r="L74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65" i="1"/>
  <c r="L65" i="1" s="1"/>
  <c r="K60" i="1"/>
  <c r="L60" i="1" s="1"/>
  <c r="K61" i="1"/>
  <c r="L61" i="1" s="1"/>
  <c r="K62" i="1"/>
  <c r="L62" i="1" s="1"/>
  <c r="K59" i="1"/>
  <c r="L59" i="1" s="1"/>
  <c r="K56" i="1"/>
  <c r="L56" i="1" s="1"/>
  <c r="K55" i="1"/>
  <c r="L55" i="1" s="1"/>
  <c r="K41" i="1"/>
  <c r="L41" i="1" s="1"/>
  <c r="K42" i="1"/>
  <c r="L42" i="1" s="1"/>
  <c r="K40" i="1"/>
  <c r="L40" i="1" s="1"/>
  <c r="K37" i="1"/>
  <c r="L37" i="1" s="1"/>
  <c r="K36" i="1"/>
  <c r="L36" i="1" s="1"/>
  <c r="K31" i="1"/>
  <c r="L31" i="1" s="1"/>
  <c r="K32" i="1"/>
  <c r="L32" i="1" s="1"/>
  <c r="K33" i="1"/>
  <c r="L33" i="1" s="1"/>
  <c r="K30" i="1"/>
  <c r="L30" i="1" s="1"/>
  <c r="K27" i="1"/>
  <c r="L27" i="1" s="1"/>
  <c r="L28" i="1" s="1"/>
  <c r="L20" i="1"/>
  <c r="L25" i="1" s="1"/>
  <c r="K16" i="1"/>
  <c r="L16" i="1" s="1"/>
  <c r="L17" i="1" s="1"/>
  <c r="K12" i="1"/>
  <c r="L12" i="1" s="1"/>
  <c r="K13" i="1"/>
  <c r="L13" i="1" s="1"/>
  <c r="K11" i="1"/>
  <c r="L11" i="1" s="1"/>
  <c r="I287" i="1"/>
  <c r="I283" i="1"/>
  <c r="I282" i="1"/>
  <c r="I281" i="1"/>
  <c r="I271" i="1"/>
  <c r="I270" i="1"/>
  <c r="I269" i="1"/>
  <c r="I268" i="1"/>
  <c r="I267" i="1"/>
  <c r="I266" i="1"/>
  <c r="I264" i="1"/>
  <c r="I263" i="1"/>
  <c r="I262" i="1"/>
  <c r="I261" i="1"/>
  <c r="I260" i="1"/>
  <c r="I259" i="1"/>
  <c r="I257" i="1"/>
  <c r="I255" i="1"/>
  <c r="I254" i="1"/>
  <c r="I253" i="1"/>
  <c r="I248" i="1"/>
  <c r="L135" i="1" l="1"/>
  <c r="F22" i="3"/>
  <c r="O23" i="3" s="1"/>
  <c r="L121" i="1"/>
  <c r="L110" i="1"/>
  <c r="F14" i="3" s="1"/>
  <c r="L94" i="1"/>
  <c r="F12" i="3"/>
  <c r="L72" i="1"/>
  <c r="L63" i="1"/>
  <c r="L57" i="1"/>
  <c r="J31" i="3"/>
  <c r="N31" i="3"/>
  <c r="L31" i="3"/>
  <c r="K31" i="3"/>
  <c r="M31" i="3"/>
  <c r="L34" i="1"/>
  <c r="F24" i="3" s="1"/>
  <c r="L103" i="1"/>
  <c r="F10" i="3" s="1"/>
  <c r="J13" i="3"/>
  <c r="I13" i="3"/>
  <c r="M13" i="3"/>
  <c r="L13" i="3"/>
  <c r="K13" i="3"/>
  <c r="L38" i="1"/>
  <c r="F26" i="3" s="1"/>
  <c r="L15" i="3"/>
  <c r="K15" i="3"/>
  <c r="M15" i="3"/>
  <c r="N15" i="3"/>
  <c r="F6" i="3"/>
  <c r="L43" i="1"/>
  <c r="L84" i="1"/>
  <c r="L144" i="1"/>
  <c r="L245" i="1"/>
  <c r="F20" i="3" s="1"/>
  <c r="L260" i="1"/>
  <c r="L268" i="1"/>
  <c r="L269" i="1"/>
  <c r="L262" i="1"/>
  <c r="L261" i="1"/>
  <c r="L283" i="1"/>
  <c r="L253" i="1"/>
  <c r="L287" i="1"/>
  <c r="L267" i="1"/>
  <c r="L282" i="1"/>
  <c r="L248" i="1"/>
  <c r="L266" i="1"/>
  <c r="L259" i="1"/>
  <c r="L264" i="1"/>
  <c r="L271" i="1"/>
  <c r="L255" i="1"/>
  <c r="L254" i="1"/>
  <c r="L263" i="1"/>
  <c r="L281" i="1"/>
  <c r="L270" i="1"/>
  <c r="L257" i="1"/>
  <c r="I190" i="1"/>
  <c r="L190" i="1" s="1"/>
  <c r="I189" i="1"/>
  <c r="L189" i="1" s="1"/>
  <c r="I165" i="1"/>
  <c r="L165" i="1" s="1"/>
  <c r="I162" i="1"/>
  <c r="L162" i="1" s="1"/>
  <c r="I159" i="1"/>
  <c r="L159" i="1" s="1"/>
  <c r="I158" i="1"/>
  <c r="L158" i="1" s="1"/>
  <c r="L232" i="1" l="1"/>
  <c r="F16" i="3" s="1"/>
  <c r="K17" i="3" s="1"/>
  <c r="L148" i="1"/>
  <c r="M23" i="3"/>
  <c r="K23" i="3"/>
  <c r="N23" i="3"/>
  <c r="L23" i="3"/>
  <c r="P13" i="3"/>
  <c r="P31" i="3"/>
  <c r="L51" i="1"/>
  <c r="F28" i="3"/>
  <c r="P15" i="3"/>
  <c r="J11" i="3"/>
  <c r="I11" i="3"/>
  <c r="L11" i="3"/>
  <c r="H11" i="3"/>
  <c r="K11" i="3"/>
  <c r="F8" i="3"/>
  <c r="P23" i="3"/>
  <c r="L21" i="3"/>
  <c r="K21" i="3"/>
  <c r="N21" i="3"/>
  <c r="M21" i="3"/>
  <c r="O21" i="3"/>
  <c r="O25" i="3"/>
  <c r="K25" i="3"/>
  <c r="N25" i="3"/>
  <c r="M25" i="3"/>
  <c r="J25" i="3"/>
  <c r="L25" i="3"/>
  <c r="M27" i="3"/>
  <c r="K27" i="3"/>
  <c r="O27" i="3"/>
  <c r="L27" i="3"/>
  <c r="N27" i="3"/>
  <c r="L290" i="1"/>
  <c r="F18" i="3" s="1"/>
  <c r="M17" i="3" l="1"/>
  <c r="O17" i="3"/>
  <c r="L291" i="1"/>
  <c r="L293" i="1" s="1"/>
  <c r="L17" i="3"/>
  <c r="J17" i="3"/>
  <c r="H17" i="3"/>
  <c r="N17" i="3"/>
  <c r="I17" i="3"/>
  <c r="P11" i="3"/>
  <c r="N29" i="3"/>
  <c r="J29" i="3"/>
  <c r="M29" i="3"/>
  <c r="L29" i="3"/>
  <c r="O29" i="3"/>
  <c r="K29" i="3"/>
  <c r="H9" i="3"/>
  <c r="I9" i="3"/>
  <c r="N19" i="3"/>
  <c r="J19" i="3"/>
  <c r="M19" i="3"/>
  <c r="I19" i="3"/>
  <c r="H19" i="3"/>
  <c r="L19" i="3"/>
  <c r="O19" i="3"/>
  <c r="K19" i="3"/>
  <c r="P25" i="3"/>
  <c r="P21" i="3"/>
  <c r="P27" i="3"/>
  <c r="F34" i="3"/>
  <c r="H7" i="3"/>
  <c r="J35" i="3" l="1"/>
  <c r="P17" i="3"/>
  <c r="K35" i="3"/>
  <c r="K34" i="3" s="1"/>
  <c r="O35" i="3"/>
  <c r="O34" i="3" s="1"/>
  <c r="M35" i="3"/>
  <c r="M34" i="3" s="1"/>
  <c r="L35" i="3"/>
  <c r="L34" i="3" s="1"/>
  <c r="N35" i="3"/>
  <c r="N34" i="3" s="1"/>
  <c r="I35" i="3"/>
  <c r="I34" i="3" s="1"/>
  <c r="P29" i="3"/>
  <c r="P9" i="3"/>
  <c r="P19" i="3"/>
  <c r="P7" i="3"/>
  <c r="H35" i="3"/>
  <c r="J34" i="3"/>
  <c r="P35" i="3" l="1"/>
  <c r="P34" i="3" s="1"/>
  <c r="H34" i="3"/>
</calcChain>
</file>

<file path=xl/sharedStrings.xml><?xml version="1.0" encoding="utf-8"?>
<sst xmlns="http://schemas.openxmlformats.org/spreadsheetml/2006/main" count="2149" uniqueCount="610">
  <si>
    <t>PLANILHA ORÇAMENTÁRIA</t>
  </si>
  <si>
    <t>Item</t>
  </si>
  <si>
    <t>Fonte</t>
  </si>
  <si>
    <t>Código</t>
  </si>
  <si>
    <t>Descrição</t>
  </si>
  <si>
    <t>Unidade</t>
  </si>
  <si>
    <t>Quantidade</t>
  </si>
  <si>
    <t>Custo Unitário
SEM BDI</t>
  </si>
  <si>
    <t>Custo Unitário
COM BDI</t>
  </si>
  <si>
    <t>Custo Total</t>
  </si>
  <si>
    <t>SINAPI</t>
  </si>
  <si>
    <t>97644</t>
  </si>
  <si>
    <t>REMOÇÃO DE PORTAS, DE FORMA MANUAL, SEM REAPROVEITAMENTO. AF_12/2017</t>
  </si>
  <si>
    <t>M2</t>
  </si>
  <si>
    <t>1.1</t>
  </si>
  <si>
    <t xml:space="preserve">Serviços Preliminares </t>
  </si>
  <si>
    <t>1.2</t>
  </si>
  <si>
    <t>97645</t>
  </si>
  <si>
    <t>REMOÇÃO DE JANELAS, DE FORMA MANUAL, SEM REAPROVEITAMENTO. AF_12/2017</t>
  </si>
  <si>
    <t>1.3</t>
  </si>
  <si>
    <t>M3</t>
  </si>
  <si>
    <t>3.1</t>
  </si>
  <si>
    <t>SINAPI-I</t>
  </si>
  <si>
    <t>3.2</t>
  </si>
  <si>
    <t>3.3</t>
  </si>
  <si>
    <t>3.4</t>
  </si>
  <si>
    <t>3.5</t>
  </si>
  <si>
    <t>3.6</t>
  </si>
  <si>
    <t>4.1</t>
  </si>
  <si>
    <t>PORTA DE ABRIR EM ALUMINIO TIPO VENEZIANA, ACABAMENTO ANODIZADO NATURAL, SEM GUARNICAO/ALIZAR/VISTA</t>
  </si>
  <si>
    <t>94319</t>
  </si>
  <si>
    <t>ATERRO MANUAL DE VALAS COM SOLO ARGILO-ARENOSO E COMPACTAÇÃO MECANIZADA. AF_05/2016</t>
  </si>
  <si>
    <t xml:space="preserve">Revestimento </t>
  </si>
  <si>
    <t>6.1</t>
  </si>
  <si>
    <t>87894</t>
  </si>
  <si>
    <t>CHAPISCO APLICADO EM ALVENARIA (SEM PRESENÇA DE VÃOS) E ESTRUTURAS DE CONCRETO DE FACHADA, COM COLHER DE PEDREIRO.  ARGAMASSA TRAÇO 1:3 COM PREPARO EM BETONEIRA 400L. AF_06/2014</t>
  </si>
  <si>
    <t>87549</t>
  </si>
  <si>
    <t>EMBOÇO, PARA RECEBIMENTO DE CERÂMICA, EM ARGAMASSA TRAÇO 1:2:8, PREPARO MECÂNICO COM BETONEIRA 400L, APLICADO MANUALMENTE EM FACES INTERNAS DE PAREDES, PARA AMBIENTE COM ÁREA ENTRE 5M2 E 10M2, ESPESSURA DE 10MM, COM EXECUÇÃO DE TALISCAS. AF_06/2014</t>
  </si>
  <si>
    <t>6.2</t>
  </si>
  <si>
    <t>6.3</t>
  </si>
  <si>
    <t>87264</t>
  </si>
  <si>
    <t>REVESTIMENTO CERÂMICO PARA PAREDES INTERNAS COM PLACAS TIPO ESMALTADA EXTRA DE DIMENSÕES 20X20 CM APLICADAS EM AMBIENTES DE ÁREA MENOR QUE 5 M² NA ALTURA INTEIRA DAS PAREDES. AF_06/2014</t>
  </si>
  <si>
    <t>6.4</t>
  </si>
  <si>
    <t>87529</t>
  </si>
  <si>
    <t>MASSA ÚNICA, PARA RECEBIMENTO DE PINTURA, EM ARGAMASSA TRAÇO 1:2:8, PREPARO MECÂNICO COM BETONEIRA 400L, APLICADA MANUALMENTE EM FACES INTERNAS DE PAREDES, ESPESSURA DE 20MM, COM EXECUÇÃO DE TALISCAS. AF_06/2014</t>
  </si>
  <si>
    <t>Piso</t>
  </si>
  <si>
    <t>7.1</t>
  </si>
  <si>
    <t>87700</t>
  </si>
  <si>
    <t>CONTRAPISO EM ARGAMASSA TRAÇO 1:4 (CIMENTO E AREIA), PREPARO MECÂNICO COM BETONEIRA 400 L, APLICADO EM ÁREAS SECAS SOBRE LAJE, NÃO ADERIDO, ESPESSURA 6CM. AF_06/2014</t>
  </si>
  <si>
    <t>7.2</t>
  </si>
  <si>
    <t>Pintura</t>
  </si>
  <si>
    <t>10.1</t>
  </si>
  <si>
    <t>10.2</t>
  </si>
  <si>
    <t>APLICAÇÃO MANUAL DE PINTURA COM TINTA LÁTEX PVA EM PAREDES, DUAS DEMÃOS. AF_06/2014</t>
  </si>
  <si>
    <t>99814</t>
  </si>
  <si>
    <t>LIMPEZA DE SUPERFÍCIE COM JATO DE ALTA PRESSÃO. AF_04/2019</t>
  </si>
  <si>
    <t>10.3</t>
  </si>
  <si>
    <t>10.4</t>
  </si>
  <si>
    <t>DEMOLIÇÃO DE ALVENARIA DE TIJOLO MACIÇO, DE FORMA MANUAL, SEM REAPROVEITAMENTO. AF_12/2017</t>
  </si>
  <si>
    <t>5.1</t>
  </si>
  <si>
    <t>Aterro</t>
  </si>
  <si>
    <t>Alvenaria</t>
  </si>
  <si>
    <t>2.1</t>
  </si>
  <si>
    <t xml:space="preserve">Limpeza Geral </t>
  </si>
  <si>
    <t>11.1</t>
  </si>
  <si>
    <t xml:space="preserve">Ampliação  </t>
  </si>
  <si>
    <t>LOCACAO CONVENCIONAL DE OBRA, UTILIZANDO GABARITO DE TÁBUAS CORRIDAS PONTALETADAS A CADA 2,00M -  2 UTILIZAÇÕES. AF_10/2018</t>
  </si>
  <si>
    <t>M</t>
  </si>
  <si>
    <t xml:space="preserve">Estaca a Trado </t>
  </si>
  <si>
    <t>2.2</t>
  </si>
  <si>
    <t>KG</t>
  </si>
  <si>
    <t>2.3</t>
  </si>
  <si>
    <t>92791</t>
  </si>
  <si>
    <t>CORTE E DOBRA DE AÇO CA-60, DIÂMETRO DE 5,0 MM, UTILIZADO EM ESTRUTURAS DIVERSAS, EXCETO LAJES. AF_12/2015</t>
  </si>
  <si>
    <t>92793</t>
  </si>
  <si>
    <t>CORTE E DOBRA DE AÇO CA-50, DIÂMETRO DE 8,0 MM, UTILIZADO EM ESTRUTURAS DIVERSAS, EXCETO LAJES. AF_12/2015</t>
  </si>
  <si>
    <t>2.4</t>
  </si>
  <si>
    <t>94963</t>
  </si>
  <si>
    <t>CONCRETO FCK = 15MPA, TRAÇO 1:3,4:3,5 (CIMENTO/ AREIA MÉDIA/ BRITA 1)  - PREPARO MECÂNICO COM BETONEIRA 400 L. AF_07/2016</t>
  </si>
  <si>
    <t xml:space="preserve">Blocos </t>
  </si>
  <si>
    <t>CHAPA DE MADEIRA COMPENSADA RESINADA PARA FORMA DE CONCRETO, DE *2,2 X 1,1* M, E = 14 MM</t>
  </si>
  <si>
    <t>94964</t>
  </si>
  <si>
    <t>CONCRETO FCK = 20MPA, TRAÇO 1:2,7:3 (CIMENTO/ AREIA MÉDIA/ BRITA 1)  - PREPARO MECÂNICO COM BETONEIRA 400 L. AF_07/2016</t>
  </si>
  <si>
    <t>DESMOLDANTE PROTETOR PARA FORMAS DE MADEIRA, DE BASE OLEOSA EMULSIONADA EM AGUA</t>
  </si>
  <si>
    <t>L</t>
  </si>
  <si>
    <t>3.7</t>
  </si>
  <si>
    <t>Vigas Baldrame</t>
  </si>
  <si>
    <t>93358</t>
  </si>
  <si>
    <t>ESCAVAÇÃO MANUAL DE VALA COM PROFUNDIDADE MENOR OU IGUAL A 1,30 M. AF_03/2016</t>
  </si>
  <si>
    <t>4.2</t>
  </si>
  <si>
    <t>4.3</t>
  </si>
  <si>
    <t>4.4</t>
  </si>
  <si>
    <t>4.5</t>
  </si>
  <si>
    <t>92794</t>
  </si>
  <si>
    <t>CORTE E DOBRA DE AÇO CA-50, DIÂMETRO DE 10,0 MM, UTILIZADO EM ESTRUTURAS DIVERSAS, EXCETO LAJES. AF_12/2015</t>
  </si>
  <si>
    <t>4.6</t>
  </si>
  <si>
    <t>4.7</t>
  </si>
  <si>
    <t>4.8</t>
  </si>
  <si>
    <t xml:space="preserve">Alvenaria </t>
  </si>
  <si>
    <t>Pilares</t>
  </si>
  <si>
    <t>6.5</t>
  </si>
  <si>
    <t>Vigas</t>
  </si>
  <si>
    <t>7.3</t>
  </si>
  <si>
    <t>7.4</t>
  </si>
  <si>
    <t>7.5</t>
  </si>
  <si>
    <t>Laje</t>
  </si>
  <si>
    <t>8.1</t>
  </si>
  <si>
    <t xml:space="preserve">Cobertura </t>
  </si>
  <si>
    <t>9.1</t>
  </si>
  <si>
    <t>92542</t>
  </si>
  <si>
    <t>TRAMA DE MADEIRA COMPOSTA POR RIPAS, CAIBROS E TERÇAS PARA TELHADOS DE MAIS QUE 2 ÁGUAS PARA TELHA CERÂMICA CAPA-CANAL, INCLUSO TRANSPORTE VERTICAL. AF_07/2019</t>
  </si>
  <si>
    <t>9.2</t>
  </si>
  <si>
    <t>94445</t>
  </si>
  <si>
    <t>TELHAMENTO COM TELHA CERÂMICA CAPA-CANAL, TIPO PLAN, COM ATÉ 2 ÁGUAS, INCLUSO TRANSPORTE VERTICAL. AF_07/2019</t>
  </si>
  <si>
    <t xml:space="preserve">Revestimento - Alvenarias e tetos </t>
  </si>
  <si>
    <t>11.2</t>
  </si>
  <si>
    <t>12.1</t>
  </si>
  <si>
    <t>12.2</t>
  </si>
  <si>
    <t>12.3</t>
  </si>
  <si>
    <t>12.4</t>
  </si>
  <si>
    <t>13.1</t>
  </si>
  <si>
    <t xml:space="preserve">Divisorias </t>
  </si>
  <si>
    <t>14.1</t>
  </si>
  <si>
    <t>15.1</t>
  </si>
  <si>
    <t>8.2</t>
  </si>
  <si>
    <t>5.2</t>
  </si>
  <si>
    <t>Despesas Financeiras</t>
  </si>
  <si>
    <t>11.3</t>
  </si>
  <si>
    <t>PISO TATIL ALERTA OU DIRECIONAL, DE BORRACHA, COLORIDO, 25 X 25 CM, E = 5 MM, PARA COLA</t>
  </si>
  <si>
    <t xml:space="preserve">BDI:        </t>
  </si>
  <si>
    <t xml:space="preserve">SUBTOTAL </t>
  </si>
  <si>
    <t xml:space="preserve">TOTAL DA PARTE DA AMPLIAÇÃO </t>
  </si>
  <si>
    <t xml:space="preserve">Instalação Hidráulica </t>
  </si>
  <si>
    <t>Tubo PVC soldável Ø 20 mm, fornecimento e instalação</t>
  </si>
  <si>
    <t>m</t>
  </si>
  <si>
    <t xml:space="preserve">Tubo e decida para caixa de descarga alta </t>
  </si>
  <si>
    <t>un</t>
  </si>
  <si>
    <t>Tubo PVC rosquivale 1/2</t>
  </si>
  <si>
    <t>Tubo  soldável  20mm</t>
  </si>
  <si>
    <t>Tubo  soldável  25mm</t>
  </si>
  <si>
    <t>Tubo  soldável  50mm</t>
  </si>
  <si>
    <t>Tubo  soldável  60mm</t>
  </si>
  <si>
    <t>Tubo  soldável  75mm</t>
  </si>
  <si>
    <t>Tubo de PVC Ø100mm, fornecimento e instalação</t>
  </si>
  <si>
    <t>tubo de PVC sold 40 mm, fornec. e instalação</t>
  </si>
  <si>
    <t>Tubo de PVC soldável 75 mm, fornec. e instalação</t>
  </si>
  <si>
    <t>Tubo de PVC rigido 50mm</t>
  </si>
  <si>
    <t>Registro de gaveta  bruto ABNT 1. 1/2</t>
  </si>
  <si>
    <t>Registro de pressão com canopla cromada 3/4", fornecimento e instalação</t>
  </si>
  <si>
    <t>Registro bruto de gaveta 2 1/2 industrial</t>
  </si>
  <si>
    <t>um</t>
  </si>
  <si>
    <t>Registro esfera 1/2</t>
  </si>
  <si>
    <t>Registro esfera borboleta bruto PVC - 1/2", fornecimento e instalação</t>
  </si>
  <si>
    <t>Adaptador sol. curto com bolsa-rosca para registro - 20mm - 1/2", fornecimento e instalação</t>
  </si>
  <si>
    <t>Adaptador soldável curto com bolsa -rosca 25mm-3/4</t>
  </si>
  <si>
    <t>Adaptador soldável com flange livre para caixa de água 75 2 1/2</t>
  </si>
  <si>
    <t>Adaptador soldável curto com bolsa -rosca 50mm-1. 1/2</t>
  </si>
  <si>
    <t>Adaptador sol. longo com flange para caixa de água  - 20mm - 1/2", fornecimento e instalação</t>
  </si>
  <si>
    <t>Válvula de descarga baixa pressão  1. /2</t>
  </si>
  <si>
    <t>Válvula  para pia, tanque e lavatório</t>
  </si>
  <si>
    <t>Bolsa de ligação para vaso sanitário 1. 1/2</t>
  </si>
  <si>
    <t>Ralo sifonado  100mm- 40mm</t>
  </si>
  <si>
    <t>Colar de de tomada  PVC misto soldável 1/2</t>
  </si>
  <si>
    <t>Engate flexível plastico 1/2 - 30cm</t>
  </si>
  <si>
    <t>Bacia Sanitária Convencional, código Izy P.11, DECA, ou equivalente com acessórios- fornecimento e instalação</t>
  </si>
  <si>
    <t>Caixa sinfonada 150x150x50 R</t>
  </si>
  <si>
    <t xml:space="preserve">Caixa de areia  100X100X100cm           </t>
  </si>
  <si>
    <t>Caixa de gordura simples - CG 40cm</t>
  </si>
  <si>
    <t>Sifão de copo para pia  e lavátorio  1- 1.1/2</t>
  </si>
  <si>
    <t>Curva 90 soldável 20 mm</t>
  </si>
  <si>
    <t>Curva 90 soldável 25 mm</t>
  </si>
  <si>
    <t>Curva 90 soldável 50mm</t>
  </si>
  <si>
    <t>Curva 90 soldável 75mm</t>
  </si>
  <si>
    <t>Curva 90 soldável 60mm</t>
  </si>
  <si>
    <t xml:space="preserve">Curva  45 longa 100mm </t>
  </si>
  <si>
    <t>Ducha Higiênica com registro e derivação Izy, código 1984.C37. ACT.CR, DECA, ou equivalente, fornecimento e instalação</t>
  </si>
  <si>
    <t>un.</t>
  </si>
  <si>
    <t xml:space="preserve">Curva  45 longa 50mm </t>
  </si>
  <si>
    <t>Curva 90 curta 100mm</t>
  </si>
  <si>
    <t>Curva PVC 90º curta - 40mm - fornecimento e instalação</t>
  </si>
  <si>
    <t>Joelho 90 soldável - 20mm, fornecimento e instalação</t>
  </si>
  <si>
    <t>Joelho 90 soldável  com redução  c/ bucha latão 25mm-1/2</t>
  </si>
  <si>
    <t>Joelho 90 soldavel com bucha de latao  3/4</t>
  </si>
  <si>
    <t>Joelho 90 soldável  com rosca -1.1/2</t>
  </si>
  <si>
    <t>Joelho 90 soldável  com rosca 1/2</t>
  </si>
  <si>
    <t>Joelho PVC 90º 50mm - fornecimento e instalação</t>
  </si>
  <si>
    <t>Joelho PVC 90 com anel para esgoto secundario - 40mm - 1 1/2" - fornecimento e instalação</t>
  </si>
  <si>
    <t>Tê 90 soldável 20mm</t>
  </si>
  <si>
    <t>Tê 90 soldável 25mm</t>
  </si>
  <si>
    <t>Tê 90 soldável 50mm</t>
  </si>
  <si>
    <t>Tê 90 soldável 60mm</t>
  </si>
  <si>
    <t>Tê 90 soldável 75mm</t>
  </si>
  <si>
    <t>Tê 90 soldável com bucha latão  25mm -3/4</t>
  </si>
  <si>
    <t>Tê 90 soldável com bucha latão  25mm -1/2</t>
  </si>
  <si>
    <t>Tê 90 soldável de redução 50mm-25mm</t>
  </si>
  <si>
    <t>Tê 90 soldável de redução 75mm-60mm</t>
  </si>
  <si>
    <t>Tê PVC sanitario 50mm-50mm - fornecimento e instalação</t>
  </si>
  <si>
    <t>Bucha de redução PVC longa  soldával 50mm-25mm</t>
  </si>
  <si>
    <t>Bucha de redução PVC longa  soldável 60mm-50mm</t>
  </si>
  <si>
    <t>Bucha de redução PVC curta  soldával 60mm-50mm</t>
  </si>
  <si>
    <t>Bucha de redução PVC curta   soldável 75mm-60mm</t>
  </si>
  <si>
    <t>Junção PVC simples 100mm-50mm - fornecimento e instalação</t>
  </si>
  <si>
    <t>Junção PVC simples 100mm-100mm - fornecimento e instalação</t>
  </si>
  <si>
    <t>Junção PVC simples 50mm-50mm - fornecimento e instalação</t>
  </si>
  <si>
    <t>Junção PVC simples 75mm-50mm - fornecimento e instalação</t>
  </si>
  <si>
    <t>Junção PVC simples 75mm-75mm - fornecimento e instalação</t>
  </si>
  <si>
    <t>Luva soldadavel redução 25-1/2</t>
  </si>
  <si>
    <t>Luva soldadavel c/ rosca 25 mm-3/4</t>
  </si>
  <si>
    <t>Torneira para cozinha de mesa bica móvel Izy, código 1167.C37, DECA, ou equivalente</t>
  </si>
  <si>
    <t>Torneira de parede de uso geral para jardim ou tanque</t>
  </si>
  <si>
    <t>Torneira para lavatório de mesa bica baixa Izy, código 1193.C37, Deca ou equivalente</t>
  </si>
  <si>
    <r>
      <rPr>
        <b/>
        <sz val="10"/>
        <color theme="1"/>
        <rFont val="Arial"/>
        <family val="2"/>
      </rPr>
      <t>Obra:</t>
    </r>
    <r>
      <rPr>
        <sz val="10"/>
        <color theme="1"/>
        <rFont val="Arial"/>
        <family val="2"/>
      </rPr>
      <t xml:space="preserve"> Reforma com Modificação e Ampliação Creche Municipal Maria Conceição França Queiroz </t>
    </r>
  </si>
  <si>
    <r>
      <t xml:space="preserve">Endereço: </t>
    </r>
    <r>
      <rPr>
        <sz val="10"/>
        <color theme="1"/>
        <rFont val="Arial"/>
        <family val="2"/>
      </rPr>
      <t xml:space="preserve">Rua Gabriel Resende e Silva </t>
    </r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</si>
  <si>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</si>
  <si>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</si>
  <si>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</si>
  <si>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</si>
  <si>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</si>
  <si>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</si>
  <si>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</si>
  <si>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</si>
  <si>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</si>
  <si>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</si>
  <si>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</si>
  <si>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</si>
  <si>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</si>
  <si>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</si>
  <si>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</si>
  <si>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</si>
  <si>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</si>
  <si>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</si>
  <si>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</si>
  <si>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</si>
  <si>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</si>
  <si>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</si>
  <si>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</si>
  <si>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</si>
  <si>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</si>
  <si>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</si>
  <si>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</si>
  <si>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</si>
  <si>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</si>
  <si>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</si>
  <si>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</si>
  <si>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</si>
  <si>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</si>
  <si>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</si>
  <si>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</si>
  <si>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</si>
  <si>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</si>
  <si>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</si>
  <si>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</si>
  <si>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</si>
  <si>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</si>
  <si>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</si>
  <si>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</si>
  <si>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</si>
  <si>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</si>
  <si>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</si>
  <si>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</si>
  <si>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</si>
  <si>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</si>
  <si>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</si>
  <si>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</si>
  <si>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</si>
  <si>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</si>
  <si>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</si>
  <si>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</si>
  <si>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</si>
  <si>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</si>
  <si>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</si>
  <si>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</si>
  <si>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</si>
  <si>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</si>
  <si>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</si>
  <si>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</si>
  <si>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</si>
  <si>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</si>
  <si>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</si>
  <si>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</si>
  <si>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</si>
  <si>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</si>
  <si>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</si>
  <si>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</si>
  <si>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</si>
  <si>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</si>
  <si>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</si>
  <si>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</si>
  <si>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 xml:space="preserve">Sistema de Proteção Contra Incêndio </t>
  </si>
  <si>
    <t>SETOP</t>
  </si>
  <si>
    <t>Sinapi</t>
  </si>
  <si>
    <t>2.5</t>
  </si>
  <si>
    <t>2.6</t>
  </si>
  <si>
    <t>2.7</t>
  </si>
  <si>
    <t>2.8</t>
  </si>
  <si>
    <t>2.9</t>
  </si>
  <si>
    <t>2.10</t>
  </si>
  <si>
    <t>2.11</t>
  </si>
  <si>
    <t>INC-PLA-015</t>
  </si>
  <si>
    <t>INC-PLA-020</t>
  </si>
  <si>
    <t>37558</t>
  </si>
  <si>
    <t>21032</t>
  </si>
  <si>
    <t>INC-ACI-005</t>
  </si>
  <si>
    <t>INC-BOM- 010</t>
  </si>
  <si>
    <t>INC-BOM-030</t>
  </si>
  <si>
    <t>INC-CHA-005</t>
  </si>
  <si>
    <t>Luminária de emergência 2w -30  - LED</t>
  </si>
  <si>
    <t>Placa S1</t>
  </si>
  <si>
    <t>Placa S2</t>
  </si>
  <si>
    <t>Placa de sinalização de incêndio</t>
  </si>
  <si>
    <t>Hidrante</t>
  </si>
  <si>
    <t>Mangueiras de incêndio tipo 1 1/2  comprimento  30m</t>
  </si>
  <si>
    <t>Acionador manual (botoeira) "aperte aqui", p/instal. Incêndio</t>
  </si>
  <si>
    <t>Quadro de força de alarme 3cv</t>
  </si>
  <si>
    <t xml:space="preserve">Sirene para alarme 220v </t>
  </si>
  <si>
    <t>Chave para conexão de mangueira tipo storz engate rápido - dupla 1 1/2" x 1 1/2"</t>
  </si>
  <si>
    <t>Instalação Elétrica</t>
  </si>
  <si>
    <t xml:space="preserve"> Tomada dupla com Espelho - 2P+T - 2 x4"</t>
  </si>
  <si>
    <t xml:space="preserve"> Tomada dupla com Espelho - 2P+T - 4 x4"</t>
  </si>
  <si>
    <t xml:space="preserve"> Tomada RJ45, categoria 5</t>
  </si>
  <si>
    <t xml:space="preserve"> Tomada com Espelho - - 4x4"</t>
  </si>
  <si>
    <t xml:space="preserve"> Tomada com Espelho - 2P+T - 2x4"</t>
  </si>
  <si>
    <t>Eletroduto Corrugada - Tipo mangueira 25mm</t>
  </si>
  <si>
    <t xml:space="preserve"> Tubular T5 sobrepor - 2x28W / 54W</t>
  </si>
  <si>
    <t xml:space="preserve"> Caixa 2x4"</t>
  </si>
  <si>
    <t xml:space="preserve"> Caixa 4x4"</t>
  </si>
  <si>
    <t xml:space="preserve"> Caixa de Passagem - 120x120x75 mm"</t>
  </si>
  <si>
    <t xml:space="preserve"> Luminária tipo - Arandela</t>
  </si>
  <si>
    <t xml:space="preserve"> LED - Luminária de 15W (Ultra Led A60 - E27)</t>
  </si>
  <si>
    <t xml:space="preserve"> Interruptor com Espelho - Simples</t>
  </si>
  <si>
    <t xml:space="preserve"> Interruptor com Espelho - 2 Simples</t>
  </si>
  <si>
    <t xml:space="preserve"> Interruptor com Espelho - 3 Simples</t>
  </si>
  <si>
    <t xml:space="preserve"> Interruptor com Espelho - Paralelo</t>
  </si>
  <si>
    <t xml:space="preserve"> Interruptor com Espelho - Intermediário</t>
  </si>
  <si>
    <t xml:space="preserve"> Interruptor com Espelho - 2 Simples + 2 Paralelos</t>
  </si>
  <si>
    <t xml:space="preserve"> Quadro de Distribuiçao Energia Embutido com 36 Posiçoes</t>
  </si>
  <si>
    <t xml:space="preserve"> Cabo  450/750 V BWF Antiflam 2,5 mm - Preto</t>
  </si>
  <si>
    <t xml:space="preserve">m </t>
  </si>
  <si>
    <t xml:space="preserve"> Cabo 450/750 V BWF Antiflam 2,5 mm - Azul</t>
  </si>
  <si>
    <t xml:space="preserve"> Cabo  450/750 V BWF Antiflam 2,5 mm - Verde</t>
  </si>
  <si>
    <t xml:space="preserve"> Cabo 450/750 V BWF Antiflam 2,5 mm - Branco</t>
  </si>
  <si>
    <t xml:space="preserve"> Cabo  450/750 V BWF Antiflam 6,0 mm - preto</t>
  </si>
  <si>
    <t xml:space="preserve"> Cabo  450/750 V BWF Antiflam 6,0 mm - Azul</t>
  </si>
  <si>
    <t xml:space="preserve"> Cabo Flexível 450/750 V BWF Antiflam 2,5 mm - Preto</t>
  </si>
  <si>
    <t xml:space="preserve"> Cabo Flexível  450/750 V BWF Antiflam 2,5 mm - Azul</t>
  </si>
  <si>
    <t xml:space="preserve"> Cabo Flexível 450/750 V BWF Antiflam 2,5 mm - Verde</t>
  </si>
  <si>
    <t xml:space="preserve"> Cabo Flexível 450/750 V BWF Antiflam 2,5 mm- Branco</t>
  </si>
  <si>
    <t xml:space="preserve"> Cabo Flexível 450/750 V BWF Antiflam 4 mm - Preto</t>
  </si>
  <si>
    <t xml:space="preserve"> Cabo Flexível  450/750 V BWF Antiflam 4mm - Azul</t>
  </si>
  <si>
    <t xml:space="preserve"> Cabo Flexível  450/750 V BWF Antiflam 4 mm - Branco</t>
  </si>
  <si>
    <t xml:space="preserve"> Cabo Flexível 450/750 V BWF Antiflam 4mm - Verde</t>
  </si>
  <si>
    <t xml:space="preserve"> Cabo Flexível 450/750 V BWF Antiflam 25 mm - Azul</t>
  </si>
  <si>
    <t xml:space="preserve"> Cabo Flexível  450/750 V BWF Antiflam 35 mm - Verde</t>
  </si>
  <si>
    <t xml:space="preserve"> Cabo Flexível  450/750 V BWF Antiflam 70 mm - Preto</t>
  </si>
  <si>
    <t xml:space="preserve"> Cabo Flexível  450/750 V BWF Antiflam 70 mm - Azul</t>
  </si>
  <si>
    <t xml:space="preserve"> Disjuntor Unipolar de 10A</t>
  </si>
  <si>
    <t xml:space="preserve"> Disjuntor Unipolar de 15A</t>
  </si>
  <si>
    <t xml:space="preserve"> Disjuntor Unipolar de 20A</t>
  </si>
  <si>
    <t xml:space="preserve"> Disjuntor Bipolar de 30A</t>
  </si>
  <si>
    <t xml:space="preserve"> Disjuntor Tripolar de 160A</t>
  </si>
  <si>
    <t xml:space="preserve"> Disjuntor Tripolar de 125A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</si>
  <si>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</si>
  <si>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</si>
  <si>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</si>
  <si>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</si>
  <si>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</si>
  <si>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</si>
  <si>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</si>
  <si>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</si>
  <si>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</si>
  <si>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</si>
  <si>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</si>
  <si>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</si>
  <si>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</si>
  <si>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</si>
  <si>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</si>
  <si>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</si>
  <si>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</si>
  <si>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</si>
  <si>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</si>
  <si>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</si>
  <si>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</si>
  <si>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</si>
  <si>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</si>
  <si>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</si>
  <si>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</si>
  <si>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</si>
  <si>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</si>
  <si>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</si>
  <si>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</si>
  <si>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</si>
  <si>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</si>
  <si>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</si>
  <si>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</si>
  <si>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</si>
  <si>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</si>
  <si>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</si>
  <si>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 xml:space="preserve">Hidro-sanitário, Incêndio e Eletrico - Parte Modificada e Ampliada </t>
  </si>
  <si>
    <t xml:space="preserve">TOTAL DA PARTE HIDRO-SANITÁRIO, INCÊNDIO E ELETRICO - PARTE MODIFICADA E AMPLIADA  </t>
  </si>
  <si>
    <t xml:space="preserve">TOTAL GERAL DA OBRA </t>
  </si>
  <si>
    <t>ED-13888</t>
  </si>
  <si>
    <t>Descrição de Metas</t>
  </si>
  <si>
    <t>Valores 
Totais (R$)</t>
  </si>
  <si>
    <t>Serviços Preliminares</t>
  </si>
  <si>
    <t>Esquadrias</t>
  </si>
  <si>
    <t>Pisos</t>
  </si>
  <si>
    <t>Instalações Elétricas</t>
  </si>
  <si>
    <r>
      <rPr>
        <b/>
        <sz val="12"/>
        <color theme="1"/>
        <rFont val="Times"/>
        <family val="1"/>
      </rPr>
      <t>Obra:</t>
    </r>
    <r>
      <rPr>
        <sz val="12"/>
        <color theme="1"/>
        <rFont val="Times"/>
        <family val="1"/>
      </rPr>
      <t xml:space="preserve"> Reforma com Modificação e Ampliação Creche Municipal Maria Conceição França Queiroz </t>
    </r>
  </si>
  <si>
    <r>
      <t xml:space="preserve">Endereço: </t>
    </r>
    <r>
      <rPr>
        <sz val="12"/>
        <color theme="1"/>
        <rFont val="Times"/>
        <family val="1"/>
      </rPr>
      <t xml:space="preserve">Rua Gabriel Resende e Silva </t>
    </r>
  </si>
  <si>
    <t>Fisico %</t>
  </si>
  <si>
    <t xml:space="preserve">Financeiro </t>
  </si>
  <si>
    <t>CRONOGRAMA FÍSICO-FINANCEIRO</t>
  </si>
  <si>
    <t>Fundação</t>
  </si>
  <si>
    <t>Cobertura</t>
  </si>
  <si>
    <t>Estruturas</t>
  </si>
  <si>
    <t xml:space="preserve">Instalação Hidraulica </t>
  </si>
  <si>
    <t>Revestimento</t>
  </si>
  <si>
    <t>Divisoria</t>
  </si>
  <si>
    <t xml:space="preserve">Início da Obra
</t>
  </si>
  <si>
    <t xml:space="preserve">Mês 1
</t>
  </si>
  <si>
    <t xml:space="preserve">Mês 2
</t>
  </si>
  <si>
    <t xml:space="preserve">Mês 3
</t>
  </si>
  <si>
    <t xml:space="preserve">Mês 4
</t>
  </si>
  <si>
    <t xml:space="preserve">Mês 5
</t>
  </si>
  <si>
    <t xml:space="preserve">Mês 6
</t>
  </si>
  <si>
    <t xml:space="preserve">Mês 7
</t>
  </si>
  <si>
    <t>TOTAL</t>
  </si>
  <si>
    <t>ED-48532</t>
  </si>
  <si>
    <t>DIVISÓRIA EM ARDÓSIA E=3CM, INCLUSIVE FERRAGENS EM LATÃO CROMADO</t>
  </si>
  <si>
    <t>4.9</t>
  </si>
  <si>
    <t>4.10</t>
  </si>
  <si>
    <t>92795</t>
  </si>
  <si>
    <t>CORTE E DOBRA DE AÇO CA-50, DIÂMETRO DE 12,5 MM, UTILIZADO EM ESTRUTURAS DIVERSAS, EXCETO LAJES. AF_12/2015</t>
  </si>
  <si>
    <t>7.6</t>
  </si>
  <si>
    <t>7.7</t>
  </si>
  <si>
    <t>14.2</t>
  </si>
  <si>
    <t>Mês 8</t>
  </si>
  <si>
    <t xml:space="preserve">Total </t>
  </si>
  <si>
    <t>92792</t>
  </si>
  <si>
    <t>CORTE E DOBRA DE AÇO CA-50, DIÂMETRO DE 6,3 MM, UTILIZADO EM ESTRUTURAS DIVERSAS, EXCETO LAJES. AF_12/2015</t>
  </si>
  <si>
    <t>87507</t>
  </si>
  <si>
    <t>ALVENARIA DE VEDAÇÃO DE BLOCOS CERÂMICOS FURADOS NA HORIZONTAL DE 9X14X19CM (ESPESSURA 9CM) DE PAREDES COM ÁREA LÍQUIDA MAIOR OU IGUAL A 6M² SEM VÃOS E ARGAMASSA DE ASSENTAMENTO COM PREPARO EM BETONEIRA. AF_06/2014</t>
  </si>
  <si>
    <t xml:space="preserve">Pintura - Alvenarias, Tetos e Esquadrias </t>
  </si>
  <si>
    <t>Cálculo</t>
  </si>
  <si>
    <t>Reforma</t>
  </si>
  <si>
    <t xml:space="preserve">TOTAL DA PARTE DA REFORMA </t>
  </si>
  <si>
    <t>51,70*3*0,15</t>
  </si>
  <si>
    <t>21,25+5,74+10,26+12,15+12,69+25,21+15,71+2,16+25,09</t>
  </si>
  <si>
    <t>(((1,78*0,65*0,60)+(1,40*0,80*0,20)+(1,10*0,80*0,20)+(0,80*0,80*0,20))*2)+(1,50*0,65*0,60)+(1,40*0,80*0,20)+(1,10*0,80*0,20)+(0,80*0,80*0,20)</t>
  </si>
  <si>
    <t>2*130,26</t>
  </si>
  <si>
    <t>20,80+11,41+79,52+44,36</t>
  </si>
  <si>
    <t>156+(1,88*3)+(1*3)+((6,40*3*2)-(0,80*2,10*2)+(2,85*3)*2)+(3,65*3)-(1,50*0,50*2)+(3,97*3)-(0,80*2,10)</t>
  </si>
  <si>
    <t>260,52-156,00</t>
  </si>
  <si>
    <t>(1,78*0,65*0,07*2)+(1,50*0,65*0,07)+(1,40*0,80*0,07*3)</t>
  </si>
  <si>
    <t>4,40+4,40+380,00+6,65</t>
  </si>
  <si>
    <t>146,08+95,38</t>
  </si>
  <si>
    <t>185,72+603,96</t>
  </si>
  <si>
    <t>(15,15*22,15)+(12,13*4,65)+(3,50*6,13)</t>
  </si>
  <si>
    <t>612,00+178,00-78,00</t>
  </si>
  <si>
    <t>(27+74)*4</t>
  </si>
  <si>
    <t>17*0,90*0,154*101</t>
  </si>
  <si>
    <t>5*3*0,39*101</t>
  </si>
  <si>
    <t>0,55*0,55*0,65*85</t>
  </si>
  <si>
    <t>0,55*0,55*0,05*85</t>
  </si>
  <si>
    <t>0,50*0,60*4*85</t>
  </si>
  <si>
    <t>0,50*0,50*0,60*85</t>
  </si>
  <si>
    <t>((0,025*0,60*0,55*2)+(0,025*0,60*0,50*2))*85</t>
  </si>
  <si>
    <t>3,22+4,43+4,65+2,14</t>
  </si>
  <si>
    <t>46,27+73,80+76,35+35,62</t>
  </si>
  <si>
    <t>14,44-11,98</t>
  </si>
  <si>
    <t>316,95+319,03+90,51+67,67-97,74</t>
  </si>
  <si>
    <t>(0,20*2,50*4*14)+(0,12*2,80*2)+71+(0,30*2,80*71)</t>
  </si>
  <si>
    <t>(0,20*0,20*2,50*14)+(0,12*0,30*2,80*71)</t>
  </si>
  <si>
    <t>21,18+65,23+83,72+67,45+44,12</t>
  </si>
  <si>
    <t>1,05+3,73+4,51+3,36</t>
  </si>
  <si>
    <t>670,00-60,00-77,85</t>
  </si>
  <si>
    <t>733,00-77,85</t>
  </si>
  <si>
    <t>733,00-77,86</t>
  </si>
  <si>
    <t>(2*696,42)+(0,20*390,358*2)+532,15</t>
  </si>
  <si>
    <t>7,84+59,34+52,11+30,57+32,64+5,58+25,14+39,24+20,47+21,67+20,17+20,52+112,04+21,32</t>
  </si>
  <si>
    <t>2081,13-468,65</t>
  </si>
  <si>
    <t>(182,50*0,90)+(281*0,90)</t>
  </si>
  <si>
    <t>1612,48-417,15</t>
  </si>
  <si>
    <t>COMPOSIÇÃO DO BDI (Bonificações e Despesas Indiretas)</t>
  </si>
  <si>
    <t xml:space="preserve">OBRA: Reforma e Ampliação Creche Maria Conceição </t>
  </si>
  <si>
    <t>REF.:</t>
  </si>
  <si>
    <t>LOCAL: MUNICÍPIO DE CARMO DO PARANAÍBA</t>
  </si>
  <si>
    <t>DATA:</t>
  </si>
  <si>
    <t>1) ADMINISTRAÇÃO CENTRAL - ( 3,00% a 5,50%)</t>
  </si>
  <si>
    <t>Adm. Central, Seguros e Garantias, Riscos</t>
  </si>
  <si>
    <t>2) SEGUROS E GARANTIAS - ( 0,80% a 1,00%)</t>
  </si>
  <si>
    <t>Lucro/Remuneração</t>
  </si>
  <si>
    <t>Impostos (com desoneração)</t>
  </si>
  <si>
    <t>Impostos (sem desoneração)</t>
  </si>
  <si>
    <t>3) RISCOS  -  (0,97% a 1,27%)</t>
  </si>
  <si>
    <t>4) DESPESAS FINANCEIRAS - ( 0,59% a 1,39%)</t>
  </si>
  <si>
    <t>5) LUCRO/REMUNERAÇÃO  - (6,16% a 8,96%)</t>
  </si>
  <si>
    <t>6) IMPOSTOS</t>
  </si>
  <si>
    <t xml:space="preserve"> - ISS - Variação de 2% a 5% - Justificado pela Legislação Tributária Municipal com apresentação da base de cálculo da alíquota.</t>
  </si>
  <si>
    <t>COFINS=</t>
  </si>
  <si>
    <t>PIS=</t>
  </si>
  <si>
    <t>ISS=</t>
  </si>
  <si>
    <t>CPRB=</t>
  </si>
  <si>
    <t>BDI=</t>
  </si>
  <si>
    <t>Faixa referencial</t>
  </si>
  <si>
    <t>1º Quartil</t>
  </si>
  <si>
    <t>Médio</t>
  </si>
  <si>
    <t>3º Quartil</t>
  </si>
  <si>
    <t xml:space="preserve">Observação: </t>
  </si>
  <si>
    <r>
      <t xml:space="preserve">                                                                                                                                                                                                    Para o tipo de obra </t>
    </r>
    <r>
      <rPr>
        <b/>
        <i/>
        <sz val="11"/>
        <rFont val="Arial"/>
        <family val="2"/>
        <charset val="1"/>
      </rPr>
      <t>"Construção de Redes de Abastecimento de Água, Coleta de Esgoto de Construções Correlatas"</t>
    </r>
    <r>
      <rPr>
        <i/>
        <sz val="11"/>
        <rFont val="Arial"/>
        <family val="2"/>
        <charset val="1"/>
      </rPr>
      <t xml:space="preserve">, conforme classificação 4222-7 do CNAE 2.0.   Os parâmetros dos itens que compoem o BDI são referenciais. De acordo com o Acórdão nº 2622/2013, quando a taxa de BDI estiver fora da faixa referencial (sem desoneração - 1º e 3º quartis) a empresa deverá justificar os valores adotados nos itens que compõem essa taxa.                                                                                                                                                                                                               Na composição acima, as empresas cuja </t>
    </r>
    <r>
      <rPr>
        <b/>
        <i/>
        <sz val="11"/>
        <rFont val="Arial"/>
        <family val="2"/>
        <charset val="1"/>
      </rPr>
      <t>ATIVIDADE PRINCIPAL</t>
    </r>
    <r>
      <rPr>
        <i/>
        <sz val="11"/>
        <rFont val="Arial"/>
        <family val="2"/>
        <charset val="1"/>
      </rPr>
      <t xml:space="preserve"> (de acordo com a declaração do CNAE) enquadra o objeto da licitação deverão utilizar a taxa do BDI </t>
    </r>
    <r>
      <rPr>
        <b/>
        <i/>
        <sz val="11"/>
        <rFont val="Arial"/>
        <family val="2"/>
        <charset val="1"/>
      </rPr>
      <t xml:space="preserve">com desoneração (B). </t>
    </r>
    <r>
      <rPr>
        <i/>
        <sz val="11"/>
        <rFont val="Arial"/>
        <family val="2"/>
        <charset val="1"/>
      </rPr>
      <t xml:space="preserve">As demais empresas deverão utilizar a taxa do BDI </t>
    </r>
    <r>
      <rPr>
        <b/>
        <i/>
        <sz val="11"/>
        <rFont val="Arial"/>
        <family val="2"/>
        <charset val="1"/>
      </rPr>
      <t>sem desoneração (A).</t>
    </r>
  </si>
  <si>
    <t>Responsável Técnico</t>
  </si>
  <si>
    <t xml:space="preserve">Nome: Fernando Ferreira Rocha </t>
  </si>
  <si>
    <t>Cargo: Engenheiro Civil</t>
  </si>
  <si>
    <t>Crea: 77.437/D-MG</t>
  </si>
  <si>
    <t>PINTURA COM TINTA ALQUÍDICA DE ACABAMENTO (ESMALTE SINTÉTICO ACETINADO ) APLICADA A ROLO OU PINCEL SOBRE SUPERFÍCIES METÁLICAS (EXCETO PERFIL ) EXECUTADO EM OBRA (02 DEMÃOS). AF_01/2020</t>
  </si>
  <si>
    <t>LIMPEZA MANUAL DE VEGETAÇÃO EM TERRENO COM ENXADA.AF_05/2018</t>
  </si>
  <si>
    <t>ESTACA ESCAVADA MECANICAMENTE, SEM FLUIDO ESTABILIZANTE, COM 25CM DE DIÂMETRO, CONCRETO LANÇADO MANUALMENTE (EXCLUSIVE MOBILIZAÇÃO E DESMOBILIZAÇÃO). AF_01/2020</t>
  </si>
  <si>
    <t>ESCAVAÇÃO MANUAL PARA BLOCO DE COROAMENTO OU SAPATA, COM PREVISÃO DE FÔRMA. AF_06/2017</t>
  </si>
  <si>
    <t>LASTRO DE CONCRETO MAGRO, APLICADO EM BLOCOS DE COROAMENTO OU SAPATAS. AF_08/2017</t>
  </si>
  <si>
    <t>CONCRETO MAGRO PARA LASTRO, TRAÇO 1:4,5:4,5 (CIMENTO/ AREIA MÉDIA/ BRITA 1) - PREPARO MECÂNICO COM BETONEIRA 600 L. AF_07/2016</t>
  </si>
  <si>
    <t>LAJE PRÉ-MOLDADA UNIDIRECIONAL, BIAPOIADA, PARA FORRO, ENCHIMENTO EM CERÂMICA, VIGOTA CONVENCIONAL, ALTURA TOTAL DA LAJE (ENCHIMENTO+CAPA) =(8+3). AF_11/2020</t>
  </si>
  <si>
    <t>PINTURA COM TINTA ALQUÍDICA DE ACABAMENTO (ESMALTE SINTÉTICO ACETINADO) PULVERIZADA SOBRE SUPERFÍCIES METÁLICAS (EXCETO PERFIL) EXECUTADO EM OBRA (DUAS DEMÃO). AF_01/2020</t>
  </si>
  <si>
    <t>Curva 45  longa  100mm</t>
  </si>
  <si>
    <t>CHUVEIRO COMUM EM PLASTICO BRANCO, COM CANO, 3 TEMPERATURAS, 5500 W (110/220 UN 55,40
V)</t>
  </si>
  <si>
    <t>38774</t>
  </si>
  <si>
    <t>10891</t>
  </si>
  <si>
    <t>ED-50961</t>
  </si>
  <si>
    <t>FORNECIMENTO E ASSENTAMENTO DE JANELA DE ALUMÍNIO, LINHA SUPREMA ACABAMENTO ANODIZADO, TIPO BASCULA COM CONTRAMARCO, INCLUSIVE FORNECIMENTO DE VIDRO LISO DE 4MM, FERRAGENS E ACESSÓRIOS</t>
  </si>
  <si>
    <t>JANELA DE ALUMÍNIO DE CORRER COM 4 FOLHAS PARA VIDROS, COM VIDROS, BATENTE, ACABAMENTO COM ACETATO OU BRILHANTE E FERRAGENS. EXCLUSIVE ALIZAR E CONTRAMARCO. FORNECIMENTO E INSTALAÇÃO. AF_12/2019</t>
  </si>
  <si>
    <t>PORTA DE ALUMÍNIO DE ABRIR COM LAMBRI, COM GUARNIÇÃO, FIXAÇÃO COM PARA FUSOS - FORNECIMENTO E INSTALAÇÃO. AF_12/2019</t>
  </si>
  <si>
    <t>FORNECIMENTO E ASSENTAMENTO DE PORTA DE CORRER UMA (1) FOLHA, EM CHAPA GALVANIZADA LAMBRIL, MODELO ONDULADA,INCLUSIVE PERFIS PARA MARCO E PINTURA ANTICORROSIVA COM UMA (1) DEMÃO, EXCLUSIVE FECHADURA E ROLDANAS</t>
  </si>
  <si>
    <t>PORTA DE CORRER DE ALUMÍNIO, COM DUAS FOLHAS TODA EM VIDRO, INCLUSO VIDRO LISO INCOLOR, FECHADURA E PUXADOR, SEM ALIZAR. AF_12/2019</t>
  </si>
  <si>
    <t>PORTA DE ALUMÍNIO DE ABRIR PARA VIDRO SEM GUARNIÇÃO, 87X210CM, FIXAÇÃO COM PARAFUSOS, INCLUSIVE VIDRO - FORNECIMENTO E INSTALAÇÃO. AF_12/2019</t>
  </si>
  <si>
    <t xml:space="preserve">Esquadrias  - Portas e Janelas </t>
  </si>
  <si>
    <t>Esquadrias - Portas e Janelas</t>
  </si>
  <si>
    <t>ED-50991</t>
  </si>
  <si>
    <t>FORNECIMENTO E ASSENTAMENTO DE PORTA DE ALUMÍNIO, LINHA SUPREMA ACABAMENTO ANODIZADO,TIPO CORRER,COM UMA FOLHA,INCLUSIVE FORNECIMENTO DE VIDRO LISO DE 4MM, FERRAGENS E ACESSÓRIOS</t>
  </si>
  <si>
    <t>12.5</t>
  </si>
  <si>
    <t>12.6</t>
  </si>
  <si>
    <t>ED-50951</t>
  </si>
  <si>
    <t>FORNECIMENTO E ASSENTAMENTO DE GRADE FIXA DE FERRO,PARA PROTEÇÃO DE JANELAS</t>
  </si>
  <si>
    <t>12.7</t>
  </si>
  <si>
    <t>ED-50983</t>
  </si>
  <si>
    <t>12.8</t>
  </si>
  <si>
    <t>12.9</t>
  </si>
  <si>
    <t>ED-50982</t>
  </si>
  <si>
    <t xml:space="preserve">PORTÃO DE GRADE COLOCADO COM CADEADO </t>
  </si>
  <si>
    <t>PORTÃO DE FERRO PADRÃO, EM CHAPA (TIPO LAMBRI), COLOCADO COM CADEADO - ABRIR</t>
  </si>
  <si>
    <t>PORTÃO DE FERRO PADRÃO, EM CHAPA (TIPO LAMBRI), COLOCADO COM CADEADO - CORRER</t>
  </si>
  <si>
    <t>12.10</t>
  </si>
  <si>
    <t>ED-50803</t>
  </si>
  <si>
    <t>PORTA DE ABRIR EM FERRO E TELA FIO 6 - PADRÃO SEDS</t>
  </si>
  <si>
    <t>12.11</t>
  </si>
  <si>
    <t>5.3</t>
  </si>
  <si>
    <t>5.4</t>
  </si>
  <si>
    <t>13.2</t>
  </si>
  <si>
    <t>14.3</t>
  </si>
  <si>
    <t>((0,8*2,1)*24)</t>
  </si>
  <si>
    <t>((1,2*0,5)*7)+((1,5*0,5)*4)+((3*1,2)*8)</t>
  </si>
  <si>
    <t>((1,2*0,5)*7)+((1,5*0,5)*4)</t>
  </si>
  <si>
    <t>((3*1,2)*8)</t>
  </si>
  <si>
    <t>((0,8*2,1)*5)</t>
  </si>
  <si>
    <t>((1,5*2,1)*1)</t>
  </si>
  <si>
    <t>((0,8*2,1)*9)</t>
  </si>
  <si>
    <t>(((0,8*2,1)*5)*2)</t>
  </si>
  <si>
    <t>((0,6*1,8)*4)</t>
  </si>
  <si>
    <t>((0,7*0,5)*4)+((1,5*0,5)*2)+((0,5*0,5)*1)+((1,2*0,5)*2)+((1,5*0,5)*2)+((0,7*0,5)*2)+((1,5*0,5)*1)+((0,3*1,2)*2)+((0,5*0,5)*1)+((1,5*0,5)*2)+((2*0,5)*2)</t>
  </si>
  <si>
    <t>((1,5*1,2)*12)+((3*1,2)*5)+((2*1,2)*4)</t>
  </si>
  <si>
    <t>((0,8*2,1)*7)</t>
  </si>
  <si>
    <t>((0,8*2,1)*14)</t>
  </si>
  <si>
    <t>((0,8*2,1)*2)</t>
  </si>
  <si>
    <t>((0,8*2,1)*19)</t>
  </si>
  <si>
    <t>((3,2*1,4)*13)+((2,2*1,4)*4)+((1,4*0,7)*8)+((0,9*0,7)*1)+((0,8*0,8)*2)+((1,7*1,4)*6)+((1,7*0,7)*3)+((0,7*0,7)*2)+((0,4*1,4)*2)</t>
  </si>
  <si>
    <t>((1*2,2)*16)+((1,5*2,2)*3)+((1,5*2,2)*1)+((3*1,2)*1)</t>
  </si>
  <si>
    <t>(1*2,5)+(2*2,5)+(0,8*2,1)</t>
  </si>
  <si>
    <t>2,8*2,5</t>
  </si>
  <si>
    <t>(11,76*2)+102,08+52+(9,18*2)+(7*2)+3,36</t>
  </si>
  <si>
    <t>CHUVEIRO COMUM EM PLASTICO BRANCO, COM CANO, 3 TEMPERATURAS, 5500 W (110/220 UN 55,40 V)</t>
  </si>
  <si>
    <t>,</t>
  </si>
  <si>
    <t xml:space="preserve">MEMÓRIA DE CÁLCULO </t>
  </si>
  <si>
    <r>
      <rPr>
        <b/>
        <sz val="12"/>
        <color theme="1"/>
        <rFont val="Times New Roman"/>
        <family val="1"/>
      </rPr>
      <t>Obra:</t>
    </r>
    <r>
      <rPr>
        <sz val="12"/>
        <color theme="1"/>
        <rFont val="Times New Roman"/>
        <family val="1"/>
      </rPr>
      <t xml:space="preserve"> Reforma com Modificação e Ampliação Creche Municipal Maria Conceição França Queiroz </t>
    </r>
  </si>
  <si>
    <r>
      <t xml:space="preserve">Endereço: </t>
    </r>
    <r>
      <rPr>
        <sz val="12"/>
        <color theme="1"/>
        <rFont val="Times New Roman"/>
        <family val="1"/>
      </rPr>
      <t xml:space="preserve">Rua Gabriel Resende e Silva </t>
    </r>
  </si>
  <si>
    <t>0,4*4+1,33*2+0,32*2+2,20*2</t>
  </si>
  <si>
    <t>2,60*2+0,36*2+0,37*2+2,60*2+2,20*2</t>
  </si>
  <si>
    <t>1.79</t>
  </si>
  <si>
    <t>CAIXA D´ÁGUA DE POLIETILENO, CAPACIDADE DE 1.000L,
INCLUSIVE TAMPA, TORNEIRA DE BOIA, EXTRAVASOR, TUBO DE
LIMPEZA E ACESSÓRIOS, EXCLUSIVE TUBULAÇÃO DE
ENTRADA/SAÍDA DE ÁGUA</t>
  </si>
  <si>
    <t>HID-DAG-015</t>
  </si>
  <si>
    <t>12.12</t>
  </si>
  <si>
    <t xml:space="preserve">ALÇAPÃO 80 X 80 CM COM COM QUADRO DE CANTONEIRA
METÁLICA 1"X 1/8", TAMPA EM CANTONEIRA 7/8"X 1/8" E CHAPA
METÁLICA ENRIJECIDA POR PERFIL "T
ALÇAPÃO 80 X 80 CM COM COM QUADRO DE CANTONEIRA
METÁLICA 1"X 1/8", TAMPA EM CANTONEIRA 7/8"X 1/8" E CHAPA
METÁLICA ENRIJECIDA POR PERFIL "T
</t>
  </si>
  <si>
    <t>ED-50924</t>
  </si>
  <si>
    <t>ALÇAPÃO 80 X 80 CM COM COM QUADRO DE CANTONEIRA
METÁLICA 1"X 1/8", TAMPA EM CANTONEIRA 7/8"X 1/8" E CHAPA
METÁLICA ENRIJECIDA POR PERFIL "T
ALÇAPÃO 80 X 80 CM COM COM QUADRO DE CANTONEIRA
METÁLICA 1"X 1/8", TAMPA EM CANTONEIRA 7/8"X 1/8" E CHAPA
METÁLICA ENRIJECIDA POR PERFIL "T</t>
  </si>
  <si>
    <t>ED-50612</t>
  </si>
  <si>
    <t>TUBO DE LIGAÇÃO DE ÁGUA PARA BACIA SANITÁRIA (VASO), DN
1.1/2", COMPRIMENTO 20CM, INCLUSIVE CANOPLA, SPUD,
FORNECIMENTO E INSTALAÇÃO</t>
  </si>
  <si>
    <t>ED-50332</t>
  </si>
  <si>
    <t>ED-48587</t>
  </si>
  <si>
    <t>ED-51056</t>
  </si>
  <si>
    <t>CAIXA DE INSPEÇÃO EM CIMENTO AGREGADO 300X300 MM COM TAPA EM FERRO FUNDIDO</t>
  </si>
  <si>
    <t>Caixa de inspeção em cimento 
agregado 300x300 mm com tampa em ferro fundido;</t>
  </si>
  <si>
    <t>Curva de PVC 90 graus, soldável, 75 mm, para água fria predial (NBR 5648)</t>
  </si>
  <si>
    <t>INC-EXT-010</t>
  </si>
  <si>
    <t>Extintor de incêndio água pressurizada 2-A, capacidade 10 L</t>
  </si>
  <si>
    <t>Extintor de incêndio portátil com carga de pó químico seco (PQS) de 4 KG, classe BC</t>
  </si>
  <si>
    <t>PISO EM GRANILITE/MARMORITE, ESP. 8MM, ACABAMENTO POLIDO, COR CINZA, MODULAÇÃO DE 1X1M, INCLUSIVE JUNTA ALUMÍNIO, RESINA E POLIMENTO MECANIZADO</t>
  </si>
  <si>
    <t>ED-50502</t>
  </si>
  <si>
    <t>PINTURA LÁTEX (PVA) EM PAREDE, DUAS (2)
 DEMÃOS, INCLUSIVE UMA (1) DEMÃO DE MASSA CORRIDA (PVA), EXCLUSIVE SELADOR ACRÍLICO</t>
  </si>
  <si>
    <t>CORTE E DOBRA DE AÇO CA-50, DIÂMETRO DE 5,0 MM, UTILIZADO EM ESTRUTURAS DIVERSAS, EXCETO LAJES. AF_12/2015</t>
  </si>
  <si>
    <t>TUBO DE LIGAÇÃO DE ÁGUA PARA BACIA SANITÁRIA (VASO), DN 1.1/2", COMPRIMENTO 20CM, INCLUSIVE CANOPLA, SPUD, FORNECIMENTO E INSTALAÇÃO</t>
  </si>
  <si>
    <r>
      <rPr>
        <b/>
        <sz val="12"/>
        <color theme="1"/>
        <rFont val="Times New Roman"/>
        <family val="1"/>
      </rPr>
      <t>Referência:</t>
    </r>
    <r>
      <rPr>
        <sz val="12"/>
        <color theme="1"/>
        <rFont val="Times New Roman"/>
        <family val="1"/>
      </rPr>
      <t xml:space="preserve"> SINAPI: Agosto/2021   -   SETOP: Julho/2021</t>
    </r>
  </si>
  <si>
    <r>
      <rPr>
        <b/>
        <sz val="10"/>
        <color theme="1"/>
        <rFont val="Arial"/>
        <family val="2"/>
      </rPr>
      <t>Referência:</t>
    </r>
    <r>
      <rPr>
        <sz val="10"/>
        <color theme="1"/>
        <rFont val="Arial"/>
        <family val="2"/>
      </rPr>
      <t xml:space="preserve"> SINAPI: Agosto/2021   -   SETOP: Julho/2021</t>
    </r>
  </si>
  <si>
    <t>PINTURA LÁTEX (PVA) EM PAREDE, DUAS (2) DEMÃOS, INCLUSIVE UMA (1) DEMÃO DE MASSA CORRIDA (PVA), EXCLUSIVE SELADOR ACRÍLICO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</si>
</sst>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[$R$-416]\ * #,##0.00_-;\-[$R$-416]\ * #,##0.00_-;_-[$R$-416]\ * &quot;-&quot;??_-;_-@_-"/>
    <numFmt numFmtId="167" formatCode="_(* #,##0.00_);_(* \(#,##0.00\);_(* &quot;-&quot;??_);_(@_)"/>
    <numFmt numFmtId="168" formatCode="mmm\-yy;@"/>
    <numFmt numFmtId="169" formatCode="dd/mm/yy;@"/>
    <numFmt numFmtId="170" formatCode="_(* #,##0.0000_);_(* \(#,##0.0000\);_(* \-??_);_(@_)"/>
  </numFmts>
  <fonts count="36"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sz val="8"/>
      <name val="Calibri"/>
      <family val="2"/>
    </font>
    <font>
      <b/>
      <sz val="12"/>
      <name val="Times"/>
      <family val="1"/>
    </font>
    <font>
      <sz val="11"/>
      <color theme="1"/>
      <name val="Calibri"/>
      <family val="2"/>
      <scheme val="minor"/>
    </font>
    <font>
      <sz val="10"/>
      <color theme="1"/>
      <name val="Times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Times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9"/>
      <name val="Arial"/>
      <family val="2"/>
      <charset val="1"/>
    </font>
    <font>
      <sz val="7.5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3366FF"/>
      <name val="Arial"/>
      <family val="2"/>
      <charset val="1"/>
    </font>
    <font>
      <b/>
      <sz val="24"/>
      <name val="Arial"/>
      <family val="2"/>
      <charset val="1"/>
    </font>
    <font>
      <b/>
      <sz val="20"/>
      <name val="Arial"/>
      <family val="2"/>
      <charset val="1"/>
    </font>
    <font>
      <i/>
      <sz val="11"/>
      <name val="Arial"/>
      <family val="2"/>
      <charset val="1"/>
    </font>
    <font>
      <b/>
      <i/>
      <sz val="11"/>
      <name val="Arial"/>
      <family val="2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'"/>
    </font>
    <font>
      <sz val="10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6" fillId="0" borderId="0"/>
    <xf numFmtId="0" fontId="6" fillId="0" borderId="0"/>
    <xf numFmtId="0" fontId="6" fillId="0" borderId="0"/>
    <xf numFmtId="167" fontId="8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167" fontId="9" fillId="2" borderId="1" xfId="5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left" vertical="center"/>
    </xf>
    <xf numFmtId="0" fontId="9" fillId="2" borderId="1" xfId="6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49" fontId="9" fillId="2" borderId="1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167" fontId="9" fillId="2" borderId="1" xfId="2" applyNumberFormat="1" applyFont="1" applyFill="1" applyBorder="1" applyAlignment="1">
      <alignment horizontal="center" vertical="center"/>
    </xf>
    <xf numFmtId="44" fontId="9" fillId="2" borderId="1" xfId="3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 applyAlignment="1"/>
    <xf numFmtId="164" fontId="7" fillId="0" borderId="7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8" xfId="0" applyFont="1" applyBorder="1"/>
    <xf numFmtId="10" fontId="7" fillId="0" borderId="8" xfId="0" applyNumberFormat="1" applyFont="1" applyBorder="1" applyAlignment="1">
      <alignment horizontal="center" vertical="center"/>
    </xf>
    <xf numFmtId="0" fontId="0" fillId="2" borderId="0" xfId="0" applyFill="1"/>
    <xf numFmtId="164" fontId="7" fillId="0" borderId="7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2" fontId="0" fillId="0" borderId="0" xfId="0" applyNumberFormat="1"/>
    <xf numFmtId="0" fontId="8" fillId="0" borderId="1" xfId="4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8" xfId="0" applyBorder="1"/>
    <xf numFmtId="10" fontId="0" fillId="0" borderId="20" xfId="1" applyNumberFormat="1" applyFont="1" applyBorder="1" applyAlignment="1" applyProtection="1"/>
    <xf numFmtId="0" fontId="21" fillId="0" borderId="0" xfId="0" applyFont="1" applyBorder="1"/>
    <xf numFmtId="0" fontId="22" fillId="0" borderId="17" xfId="0" applyFont="1" applyBorder="1"/>
    <xf numFmtId="0" fontId="23" fillId="0" borderId="19" xfId="0" applyFont="1" applyBorder="1"/>
    <xf numFmtId="0" fontId="22" fillId="0" borderId="15" xfId="0" applyFont="1" applyBorder="1"/>
    <xf numFmtId="0" fontId="23" fillId="0" borderId="16" xfId="0" applyFont="1" applyBorder="1"/>
    <xf numFmtId="0" fontId="22" fillId="0" borderId="21" xfId="0" applyFont="1" applyBorder="1"/>
    <xf numFmtId="0" fontId="0" fillId="0" borderId="22" xfId="0" applyBorder="1"/>
    <xf numFmtId="0" fontId="0" fillId="0" borderId="23" xfId="0" applyBorder="1"/>
    <xf numFmtId="10" fontId="0" fillId="0" borderId="0" xfId="1" applyNumberFormat="1" applyFont="1" applyBorder="1" applyAlignment="1" applyProtection="1"/>
    <xf numFmtId="0" fontId="0" fillId="0" borderId="0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10" fontId="0" fillId="0" borderId="7" xfId="0" applyNumberFormat="1" applyBorder="1" applyAlignment="1">
      <alignment horizontal="center"/>
    </xf>
    <xf numFmtId="0" fontId="27" fillId="3" borderId="0" xfId="0" applyFont="1" applyFill="1" applyBorder="1" applyAlignment="1" applyProtection="1">
      <alignment horizontal="left" vertical="top" wrapText="1"/>
    </xf>
    <xf numFmtId="0" fontId="0" fillId="0" borderId="30" xfId="0" applyBorder="1"/>
    <xf numFmtId="0" fontId="0" fillId="0" borderId="31" xfId="0" applyBorder="1"/>
    <xf numFmtId="170" fontId="24" fillId="0" borderId="25" xfId="2" applyNumberFormat="1" applyFont="1" applyBorder="1" applyAlignment="1" applyProtection="1"/>
    <xf numFmtId="0" fontId="0" fillId="0" borderId="30" xfId="0" applyFont="1" applyBorder="1" applyAlignment="1"/>
    <xf numFmtId="0" fontId="0" fillId="0" borderId="31" xfId="0" applyBorder="1" applyAlignment="1"/>
    <xf numFmtId="0" fontId="27" fillId="3" borderId="30" xfId="0" applyFont="1" applyFill="1" applyBorder="1" applyAlignment="1" applyProtection="1">
      <alignment horizontal="left" vertical="top" wrapText="1"/>
    </xf>
    <xf numFmtId="0" fontId="27" fillId="3" borderId="31" xfId="0" applyFont="1" applyFill="1" applyBorder="1" applyAlignment="1" applyProtection="1">
      <alignment horizontal="left" vertical="top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7" fillId="5" borderId="8" xfId="0" applyFont="1" applyFill="1" applyBorder="1"/>
    <xf numFmtId="10" fontId="7" fillId="5" borderId="8" xfId="0" applyNumberFormat="1" applyFont="1" applyFill="1" applyBorder="1" applyAlignment="1">
      <alignment horizontal="center" vertical="center"/>
    </xf>
    <xf numFmtId="10" fontId="7" fillId="5" borderId="12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4" fontId="20" fillId="6" borderId="13" xfId="0" applyNumberFormat="1" applyFont="1" applyFill="1" applyBorder="1" applyAlignment="1" applyProtection="1">
      <alignment vertical="center"/>
    </xf>
    <xf numFmtId="168" fontId="20" fillId="6" borderId="29" xfId="0" applyNumberFormat="1" applyFont="1" applyFill="1" applyBorder="1" applyAlignment="1" applyProtection="1">
      <alignment vertical="center"/>
    </xf>
    <xf numFmtId="4" fontId="20" fillId="6" borderId="2" xfId="0" applyNumberFormat="1" applyFont="1" applyFill="1" applyBorder="1" applyAlignment="1" applyProtection="1">
      <alignment vertical="center"/>
    </xf>
    <xf numFmtId="169" fontId="20" fillId="6" borderId="4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44" fontId="9" fillId="0" borderId="1" xfId="3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44" fontId="14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166" fontId="0" fillId="0" borderId="0" xfId="3" applyNumberFormat="1" applyFont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1" xfId="4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4" fillId="0" borderId="28" xfId="0" applyFont="1" applyBorder="1" applyAlignment="1">
      <alignment horizontal="left" wrapText="1"/>
    </xf>
    <xf numFmtId="0" fontId="4" fillId="0" borderId="28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66" fontId="4" fillId="0" borderId="28" xfId="3" applyNumberFormat="1" applyFont="1" applyBorder="1" applyAlignment="1">
      <alignment horizontal="center" vertical="center"/>
    </xf>
    <xf numFmtId="2" fontId="0" fillId="0" borderId="0" xfId="0" applyNumberFormat="1" applyBorder="1"/>
    <xf numFmtId="0" fontId="29" fillId="0" borderId="3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31" xfId="0" applyFont="1" applyBorder="1" applyAlignment="1">
      <alignment wrapText="1"/>
    </xf>
    <xf numFmtId="0" fontId="29" fillId="0" borderId="30" xfId="0" applyFont="1" applyBorder="1" applyAlignment="1">
      <alignment horizontal="center" vertical="center"/>
    </xf>
    <xf numFmtId="2" fontId="29" fillId="0" borderId="28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30" fillId="0" borderId="1" xfId="3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2" fontId="31" fillId="0" borderId="1" xfId="3" applyNumberFormat="1" applyFont="1" applyBorder="1" applyAlignment="1">
      <alignment horizontal="center" vertical="center"/>
    </xf>
    <xf numFmtId="2" fontId="31" fillId="0" borderId="1" xfId="3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2" fontId="3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center"/>
    </xf>
    <xf numFmtId="2" fontId="31" fillId="0" borderId="1" xfId="3" applyNumberFormat="1" applyFont="1" applyBorder="1" applyAlignment="1">
      <alignment horizontal="center"/>
    </xf>
    <xf numFmtId="2" fontId="31" fillId="2" borderId="1" xfId="3" applyNumberFormat="1" applyFont="1" applyFill="1" applyBorder="1" applyAlignment="1">
      <alignment horizontal="center" vertical="center"/>
    </xf>
    <xf numFmtId="0" fontId="31" fillId="0" borderId="1" xfId="7" applyFont="1" applyBorder="1" applyAlignment="1">
      <alignment horizontal="center" vertical="center"/>
    </xf>
    <xf numFmtId="0" fontId="31" fillId="0" borderId="1" xfId="7" applyFont="1" applyBorder="1" applyAlignment="1">
      <alignment vertical="center" wrapText="1"/>
    </xf>
    <xf numFmtId="0" fontId="29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wrapText="1"/>
    </xf>
    <xf numFmtId="0" fontId="29" fillId="2" borderId="1" xfId="4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center" vertical="center"/>
    </xf>
    <xf numFmtId="167" fontId="29" fillId="2" borderId="1" xfId="5" applyNumberFormat="1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left" vertical="center"/>
    </xf>
    <xf numFmtId="0" fontId="29" fillId="2" borderId="1" xfId="6" applyNumberFormat="1" applyFont="1" applyFill="1" applyBorder="1" applyAlignment="1">
      <alignment horizontal="center" vertical="center" wrapText="1"/>
    </xf>
    <xf numFmtId="49" fontId="29" fillId="2" borderId="1" xfId="4" applyNumberFormat="1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horizontal="center" vertical="center"/>
    </xf>
    <xf numFmtId="49" fontId="29" fillId="0" borderId="1" xfId="4" applyNumberFormat="1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horizontal="left" vertical="center" wrapText="1"/>
    </xf>
    <xf numFmtId="0" fontId="31" fillId="2" borderId="1" xfId="4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/>
    </xf>
    <xf numFmtId="0" fontId="31" fillId="2" borderId="1" xfId="4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wrapText="1"/>
    </xf>
    <xf numFmtId="166" fontId="31" fillId="0" borderId="31" xfId="3" applyNumberFormat="1" applyFont="1" applyBorder="1" applyAlignment="1">
      <alignment horizontal="center" vertical="center"/>
    </xf>
    <xf numFmtId="0" fontId="7" fillId="5" borderId="7" xfId="0" applyFont="1" applyFill="1" applyBorder="1"/>
    <xf numFmtId="164" fontId="7" fillId="5" borderId="7" xfId="0" applyNumberFormat="1" applyFont="1" applyFill="1" applyBorder="1" applyAlignment="1">
      <alignment horizontal="center" vertical="center"/>
    </xf>
    <xf numFmtId="164" fontId="7" fillId="5" borderId="40" xfId="0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27" fillId="3" borderId="38" xfId="0" applyFont="1" applyFill="1" applyBorder="1" applyAlignment="1" applyProtection="1">
      <alignment horizontal="left" vertical="top" wrapText="1"/>
    </xf>
    <xf numFmtId="0" fontId="27" fillId="3" borderId="5" xfId="0" applyFont="1" applyFill="1" applyBorder="1" applyAlignment="1" applyProtection="1">
      <alignment horizontal="left" vertical="top" wrapText="1"/>
    </xf>
    <xf numFmtId="0" fontId="27" fillId="3" borderId="39" xfId="0" applyFont="1" applyFill="1" applyBorder="1" applyAlignment="1" applyProtection="1">
      <alignment horizontal="left" vertical="top" wrapText="1"/>
    </xf>
    <xf numFmtId="0" fontId="0" fillId="0" borderId="28" xfId="0" applyBorder="1"/>
    <xf numFmtId="0" fontId="0" fillId="0" borderId="30" xfId="0" applyFont="1" applyBorder="1"/>
    <xf numFmtId="4" fontId="20" fillId="3" borderId="0" xfId="0" applyNumberFormat="1" applyFont="1" applyFill="1" applyBorder="1" applyAlignment="1" applyProtection="1">
      <alignment vertical="center"/>
    </xf>
    <xf numFmtId="4" fontId="20" fillId="3" borderId="31" xfId="0" applyNumberFormat="1" applyFont="1" applyFill="1" applyBorder="1" applyAlignment="1" applyProtection="1">
      <alignment vertical="center"/>
    </xf>
    <xf numFmtId="0" fontId="29" fillId="0" borderId="38" xfId="0" applyFont="1" applyBorder="1"/>
    <xf numFmtId="0" fontId="29" fillId="0" borderId="5" xfId="0" applyFont="1" applyBorder="1"/>
    <xf numFmtId="2" fontId="29" fillId="0" borderId="5" xfId="0" applyNumberFormat="1" applyFont="1" applyBorder="1"/>
    <xf numFmtId="2" fontId="29" fillId="0" borderId="39" xfId="0" applyNumberFormat="1" applyFont="1" applyBorder="1"/>
    <xf numFmtId="0" fontId="3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0" fillId="4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7" fillId="0" borderId="34" xfId="0" applyFont="1" applyBorder="1" applyAlignment="1">
      <alignment horizontal="justify" vertical="top" wrapText="1"/>
    </xf>
    <xf numFmtId="0" fontId="27" fillId="0" borderId="27" xfId="0" applyFont="1" applyBorder="1" applyAlignment="1">
      <alignment horizontal="justify" vertical="top" wrapText="1"/>
    </xf>
    <xf numFmtId="0" fontId="27" fillId="0" borderId="35" xfId="0" applyFont="1" applyBorder="1" applyAlignment="1">
      <alignment horizontal="justify" vertical="top" wrapText="1"/>
    </xf>
    <xf numFmtId="0" fontId="0" fillId="0" borderId="3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33" xfId="0" applyFont="1" applyBorder="1" applyAlignment="1">
      <alignment horizontal="left" wrapText="1"/>
    </xf>
    <xf numFmtId="0" fontId="0" fillId="0" borderId="32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25" fillId="4" borderId="25" xfId="0" applyFont="1" applyFill="1" applyBorder="1" applyAlignment="1">
      <alignment horizontal="right" vertical="center"/>
    </xf>
    <xf numFmtId="10" fontId="26" fillId="4" borderId="26" xfId="1" applyNumberFormat="1" applyFont="1" applyFill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4" fontId="19" fillId="6" borderId="1" xfId="0" applyNumberFormat="1" applyFont="1" applyFill="1" applyBorder="1" applyAlignment="1" applyProtection="1">
      <alignment horizontal="left" vertical="center"/>
    </xf>
    <xf numFmtId="4" fontId="20" fillId="3" borderId="30" xfId="0" applyNumberFormat="1" applyFont="1" applyFill="1" applyBorder="1" applyAlignment="1" applyProtection="1">
      <alignment horizontal="left" vertical="center"/>
    </xf>
    <xf numFmtId="4" fontId="20" fillId="3" borderId="0" xfId="0" applyNumberFormat="1" applyFont="1" applyFill="1" applyBorder="1" applyAlignment="1" applyProtection="1">
      <alignment horizontal="left" vertical="center"/>
    </xf>
    <xf numFmtId="4" fontId="20" fillId="3" borderId="0" xfId="0" applyNumberFormat="1" applyFont="1" applyFill="1" applyBorder="1" applyAlignment="1" applyProtection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7" fillId="3" borderId="38" xfId="0" applyFont="1" applyFill="1" applyBorder="1" applyAlignment="1" applyProtection="1">
      <alignment horizontal="left" vertical="top" wrapText="1"/>
    </xf>
    <xf numFmtId="0" fontId="27" fillId="3" borderId="5" xfId="0" applyFont="1" applyFill="1" applyBorder="1" applyAlignment="1" applyProtection="1">
      <alignment horizontal="left" vertical="top" wrapText="1"/>
    </xf>
    <xf numFmtId="0" fontId="27" fillId="3" borderId="39" xfId="0" applyFont="1" applyFill="1" applyBorder="1" applyAlignment="1" applyProtection="1">
      <alignment horizontal="left" vertical="top" wrapText="1"/>
    </xf>
    <xf numFmtId="0" fontId="27" fillId="3" borderId="30" xfId="0" applyFont="1" applyFill="1" applyBorder="1" applyAlignment="1" applyProtection="1">
      <alignment horizontal="left" vertical="top" wrapText="1"/>
    </xf>
    <xf numFmtId="0" fontId="27" fillId="3" borderId="0" xfId="0" applyFont="1" applyFill="1" applyBorder="1" applyAlignment="1" applyProtection="1">
      <alignment horizontal="left" vertical="top" wrapText="1"/>
    </xf>
    <xf numFmtId="0" fontId="27" fillId="3" borderId="31" xfId="0" applyFont="1" applyFill="1" applyBorder="1" applyAlignment="1" applyProtection="1">
      <alignment horizontal="left" vertical="top" wrapText="1"/>
    </xf>
    <xf numFmtId="0" fontId="27" fillId="3" borderId="36" xfId="0" applyFont="1" applyFill="1" applyBorder="1" applyAlignment="1" applyProtection="1">
      <alignment horizontal="left" vertical="top" wrapText="1"/>
    </xf>
    <xf numFmtId="0" fontId="27" fillId="3" borderId="28" xfId="0" applyFont="1" applyFill="1" applyBorder="1" applyAlignment="1" applyProtection="1">
      <alignment horizontal="left" vertical="top" wrapText="1"/>
    </xf>
    <xf numFmtId="0" fontId="27" fillId="3" borderId="37" xfId="0" applyFont="1" applyFill="1" applyBorder="1" applyAlignment="1" applyProtection="1">
      <alignment horizontal="left" vertical="top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5" borderId="2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9" fontId="9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1">
    <cellStyle name="Moeda" xfId="3" builtinId="4"/>
    <cellStyle name="Normal" xfId="0" builtinId="0"/>
    <cellStyle name="Normal 2" xfId="4"/>
    <cellStyle name="Normal 2 2" xfId="9"/>
    <cellStyle name="Normal 2 3" xfId="8"/>
    <cellStyle name="Normal 3" xfId="7"/>
    <cellStyle name="Normal 3 3" xfId="6"/>
    <cellStyle name="Porcentagem" xfId="1" builtinId="5"/>
    <cellStyle name="Vírgula" xfId="2" builtinId="3"/>
    <cellStyle name="Vírgula 2" xfId="5"/>
    <cellStyle name="Vírgula 3" xfId="10"/>
  </cellStyles>
  <dxfs count="0"/>
  <tableStyles count="0" defaultTableStyle="TableStyleMedium9" defaultPivotStyle="PivotStyleLight16"/>
  <colors>
    <mruColors>
      <color rgb="FFFFCCFF"/>
      <color rgb="FFFF99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7"/>
  <sheetViews>
    <sheetView tabSelected="1" topLeftCell="A40" zoomScaleNormal="100" zoomScaleSheetLayoutView="100" workbookViewId="0">
      <selection activeCell="E49" sqref="E49"/>
    </sheetView>
  </sheetViews>
  <sheetFormatPr defaultRowHeight="15"/>
  <cols>
    <col min="4" max="4" width="16" bestFit="1" customWidth="1"/>
    <col min="5" max="5" width="82.140625" customWidth="1"/>
    <col min="7" max="7" width="34.5703125" style="50" bestFit="1" customWidth="1"/>
    <col min="8" max="8" width="14.5703125" style="50" customWidth="1"/>
  </cols>
  <sheetData>
    <row r="2" spans="2:8" ht="42.6" customHeight="1">
      <c r="B2" s="201" t="s">
        <v>579</v>
      </c>
      <c r="C2" s="202"/>
      <c r="D2" s="202"/>
      <c r="E2" s="202"/>
      <c r="F2" s="202"/>
      <c r="G2" s="202"/>
      <c r="H2" s="203"/>
    </row>
    <row r="3" spans="2:8" ht="15.75">
      <c r="B3" s="204" t="s">
        <v>580</v>
      </c>
      <c r="C3" s="204"/>
      <c r="D3" s="204"/>
      <c r="E3" s="204"/>
      <c r="F3" s="204"/>
      <c r="G3" s="204"/>
      <c r="H3" s="204"/>
    </row>
    <row r="4" spans="2:8" ht="15.75">
      <c r="B4" s="205" t="s">
        <v>581</v>
      </c>
      <c r="C4" s="204"/>
      <c r="D4" s="204"/>
      <c r="E4" s="204"/>
      <c r="F4" s="204"/>
      <c r="G4" s="204"/>
      <c r="H4" s="204"/>
    </row>
    <row r="5" spans="2:8" ht="15.75">
      <c r="B5" s="204" t="s">
        <v>607</v>
      </c>
      <c r="C5" s="204"/>
      <c r="D5" s="204"/>
      <c r="E5" s="204"/>
      <c r="F5" s="204"/>
      <c r="G5" s="204"/>
      <c r="H5" s="204"/>
    </row>
    <row r="6" spans="2:8" ht="15.75">
      <c r="B6" s="126" t="s">
        <v>1</v>
      </c>
      <c r="C6" s="126" t="s">
        <v>2</v>
      </c>
      <c r="D6" s="126" t="s">
        <v>3</v>
      </c>
      <c r="E6" s="126" t="s">
        <v>4</v>
      </c>
      <c r="F6" s="126" t="s">
        <v>5</v>
      </c>
      <c r="G6" s="127" t="s">
        <v>443</v>
      </c>
      <c r="H6" s="128" t="s">
        <v>6</v>
      </c>
    </row>
    <row r="7" spans="2:8" ht="15.75">
      <c r="B7" s="189" t="s">
        <v>444</v>
      </c>
      <c r="C7" s="189"/>
      <c r="D7" s="189"/>
      <c r="E7" s="189"/>
      <c r="F7" s="189"/>
      <c r="G7" s="189"/>
      <c r="H7" s="189"/>
    </row>
    <row r="8" spans="2:8" ht="15.75">
      <c r="B8" s="129">
        <v>1</v>
      </c>
      <c r="C8" s="190"/>
      <c r="D8" s="190"/>
      <c r="E8" s="130" t="s">
        <v>15</v>
      </c>
      <c r="F8" s="190"/>
      <c r="G8" s="190"/>
      <c r="H8" s="190"/>
    </row>
    <row r="9" spans="2:8" ht="31.5">
      <c r="B9" s="131" t="s">
        <v>14</v>
      </c>
      <c r="C9" s="131" t="s">
        <v>10</v>
      </c>
      <c r="D9" s="131" t="s">
        <v>11</v>
      </c>
      <c r="E9" s="132" t="s">
        <v>12</v>
      </c>
      <c r="F9" s="131" t="s">
        <v>13</v>
      </c>
      <c r="G9" s="133" t="s">
        <v>557</v>
      </c>
      <c r="H9" s="133">
        <v>40.32</v>
      </c>
    </row>
    <row r="10" spans="2:8" ht="31.5">
      <c r="B10" s="131" t="s">
        <v>16</v>
      </c>
      <c r="C10" s="131" t="s">
        <v>10</v>
      </c>
      <c r="D10" s="131" t="s">
        <v>17</v>
      </c>
      <c r="E10" s="132" t="s">
        <v>18</v>
      </c>
      <c r="F10" s="131" t="s">
        <v>13</v>
      </c>
      <c r="G10" s="134" t="s">
        <v>558</v>
      </c>
      <c r="H10" s="133">
        <v>36</v>
      </c>
    </row>
    <row r="11" spans="2:8" ht="31.5">
      <c r="B11" s="131" t="s">
        <v>19</v>
      </c>
      <c r="C11" s="131" t="s">
        <v>10</v>
      </c>
      <c r="D11" s="131">
        <v>97624</v>
      </c>
      <c r="E11" s="135" t="s">
        <v>58</v>
      </c>
      <c r="F11" s="131" t="s">
        <v>20</v>
      </c>
      <c r="G11" s="133" t="s">
        <v>446</v>
      </c>
      <c r="H11" s="133">
        <f>51.7*3*0.15</f>
        <v>23.265000000000004</v>
      </c>
    </row>
    <row r="12" spans="2:8" ht="15.75">
      <c r="B12" s="129">
        <v>2</v>
      </c>
      <c r="C12" s="190"/>
      <c r="D12" s="190"/>
      <c r="E12" s="130" t="s">
        <v>61</v>
      </c>
      <c r="F12" s="190"/>
      <c r="G12" s="190"/>
      <c r="H12" s="190"/>
    </row>
    <row r="13" spans="2:8" ht="63">
      <c r="B13" s="131" t="s">
        <v>62</v>
      </c>
      <c r="C13" s="131" t="s">
        <v>10</v>
      </c>
      <c r="D13" s="131" t="s">
        <v>440</v>
      </c>
      <c r="E13" s="136" t="s">
        <v>441</v>
      </c>
      <c r="F13" s="131" t="s">
        <v>13</v>
      </c>
      <c r="G13" s="134" t="s">
        <v>447</v>
      </c>
      <c r="H13" s="133">
        <f>21.25+5.74+10.26+12.15+12.69+25.21+15.71+2.16+25.09</f>
        <v>130.26</v>
      </c>
    </row>
    <row r="14" spans="2:8" ht="15.75">
      <c r="B14" s="129">
        <v>3</v>
      </c>
      <c r="C14" s="198"/>
      <c r="D14" s="199"/>
      <c r="E14" s="130" t="s">
        <v>533</v>
      </c>
      <c r="F14" s="190"/>
      <c r="G14" s="190"/>
      <c r="H14" s="190"/>
    </row>
    <row r="15" spans="2:8" ht="63">
      <c r="B15" s="131" t="s">
        <v>21</v>
      </c>
      <c r="C15" s="131" t="s">
        <v>289</v>
      </c>
      <c r="D15" s="131" t="s">
        <v>526</v>
      </c>
      <c r="E15" s="132" t="s">
        <v>527</v>
      </c>
      <c r="F15" s="131" t="s">
        <v>13</v>
      </c>
      <c r="G15" s="137" t="s">
        <v>559</v>
      </c>
      <c r="H15" s="137">
        <v>7.2</v>
      </c>
    </row>
    <row r="16" spans="2:8" ht="63">
      <c r="B16" s="131" t="s">
        <v>23</v>
      </c>
      <c r="C16" s="131" t="s">
        <v>10</v>
      </c>
      <c r="D16" s="131">
        <v>94573</v>
      </c>
      <c r="E16" s="132" t="s">
        <v>528</v>
      </c>
      <c r="F16" s="131" t="s">
        <v>13</v>
      </c>
      <c r="G16" s="137" t="s">
        <v>560</v>
      </c>
      <c r="H16" s="137">
        <v>28.8</v>
      </c>
    </row>
    <row r="17" spans="1:8" ht="78.75">
      <c r="B17" s="131" t="s">
        <v>24</v>
      </c>
      <c r="C17" s="131" t="s">
        <v>289</v>
      </c>
      <c r="D17" s="131" t="s">
        <v>400</v>
      </c>
      <c r="E17" s="132" t="s">
        <v>530</v>
      </c>
      <c r="F17" s="131" t="s">
        <v>13</v>
      </c>
      <c r="G17" s="137" t="s">
        <v>561</v>
      </c>
      <c r="H17" s="137">
        <v>8.4</v>
      </c>
    </row>
    <row r="18" spans="1:8" ht="47.25">
      <c r="B18" s="131" t="s">
        <v>25</v>
      </c>
      <c r="C18" s="131" t="s">
        <v>10</v>
      </c>
      <c r="D18" s="131">
        <v>91338</v>
      </c>
      <c r="E18" s="132" t="s">
        <v>529</v>
      </c>
      <c r="F18" s="131" t="s">
        <v>13</v>
      </c>
      <c r="G18" s="137" t="s">
        <v>561</v>
      </c>
      <c r="H18" s="137">
        <v>8.4</v>
      </c>
    </row>
    <row r="19" spans="1:8" ht="47.25">
      <c r="B19" s="131" t="s">
        <v>26</v>
      </c>
      <c r="C19" s="131" t="s">
        <v>10</v>
      </c>
      <c r="D19" s="131">
        <v>100702</v>
      </c>
      <c r="E19" s="132" t="s">
        <v>531</v>
      </c>
      <c r="F19" s="131" t="s">
        <v>13</v>
      </c>
      <c r="G19" s="137" t="s">
        <v>562</v>
      </c>
      <c r="H19" s="137">
        <v>3.15</v>
      </c>
    </row>
    <row r="20" spans="1:8" ht="47.25">
      <c r="B20" s="131" t="s">
        <v>27</v>
      </c>
      <c r="C20" s="131" t="s">
        <v>10</v>
      </c>
      <c r="D20" s="131">
        <v>94805</v>
      </c>
      <c r="E20" s="132" t="s">
        <v>532</v>
      </c>
      <c r="F20" s="131" t="s">
        <v>13</v>
      </c>
      <c r="G20" s="137" t="s">
        <v>563</v>
      </c>
      <c r="H20" s="137">
        <v>15.12</v>
      </c>
    </row>
    <row r="21" spans="1:8" ht="15.75">
      <c r="B21" s="129">
        <v>4</v>
      </c>
      <c r="C21" s="190"/>
      <c r="D21" s="190"/>
      <c r="E21" s="130" t="s">
        <v>60</v>
      </c>
      <c r="F21" s="190"/>
      <c r="G21" s="190"/>
      <c r="H21" s="190"/>
    </row>
    <row r="22" spans="1:8" ht="78.75">
      <c r="A22" s="45"/>
      <c r="B22" s="131" t="s">
        <v>28</v>
      </c>
      <c r="C22" s="131" t="s">
        <v>10</v>
      </c>
      <c r="D22" s="131" t="s">
        <v>30</v>
      </c>
      <c r="E22" s="132" t="s">
        <v>31</v>
      </c>
      <c r="F22" s="131" t="s">
        <v>20</v>
      </c>
      <c r="G22" s="134" t="s">
        <v>448</v>
      </c>
      <c r="H22" s="133">
        <f>(((1.78*0.65*0.6)+(1.4*0.8*0.2)+(1.1*0.8*0.2)+(0.8*0.8*0.2))*2)+(1.5*0.65*0.6)+(1.4*0.8*0.2)+(1.1*0.8*0.2)+(0.8*0.8*0.2)</f>
        <v>3.5574000000000003</v>
      </c>
    </row>
    <row r="23" spans="1:8" ht="15.75">
      <c r="B23" s="129">
        <v>5</v>
      </c>
      <c r="C23" s="190"/>
      <c r="D23" s="190"/>
      <c r="E23" s="130" t="s">
        <v>32</v>
      </c>
      <c r="F23" s="190"/>
      <c r="G23" s="190"/>
      <c r="H23" s="190"/>
    </row>
    <row r="24" spans="1:8" ht="47.25">
      <c r="B24" s="131" t="s">
        <v>59</v>
      </c>
      <c r="C24" s="131" t="s">
        <v>10</v>
      </c>
      <c r="D24" s="131" t="s">
        <v>34</v>
      </c>
      <c r="E24" s="132" t="s">
        <v>35</v>
      </c>
      <c r="F24" s="131" t="s">
        <v>13</v>
      </c>
      <c r="G24" s="133" t="s">
        <v>449</v>
      </c>
      <c r="H24" s="133">
        <f>2*130.26</f>
        <v>260.52</v>
      </c>
    </row>
    <row r="25" spans="1:8" ht="78.75">
      <c r="B25" s="131" t="s">
        <v>125</v>
      </c>
      <c r="C25" s="131" t="s">
        <v>10</v>
      </c>
      <c r="D25" s="131" t="s">
        <v>36</v>
      </c>
      <c r="E25" s="132" t="s">
        <v>37</v>
      </c>
      <c r="F25" s="131" t="s">
        <v>13</v>
      </c>
      <c r="G25" s="133" t="s">
        <v>450</v>
      </c>
      <c r="H25" s="133">
        <f>20.8+11.41+79.52+44.36</f>
        <v>156.08999999999997</v>
      </c>
    </row>
    <row r="26" spans="1:8" ht="63">
      <c r="B26" s="131" t="s">
        <v>553</v>
      </c>
      <c r="C26" s="131" t="s">
        <v>10</v>
      </c>
      <c r="D26" s="131" t="s">
        <v>40</v>
      </c>
      <c r="E26" s="132" t="s">
        <v>41</v>
      </c>
      <c r="F26" s="131" t="s">
        <v>13</v>
      </c>
      <c r="G26" s="134" t="s">
        <v>451</v>
      </c>
      <c r="H26" s="133">
        <v>271.5</v>
      </c>
    </row>
    <row r="27" spans="1:8" ht="63">
      <c r="B27" s="131" t="s">
        <v>554</v>
      </c>
      <c r="C27" s="131" t="s">
        <v>10</v>
      </c>
      <c r="D27" s="131" t="s">
        <v>43</v>
      </c>
      <c r="E27" s="132" t="s">
        <v>44</v>
      </c>
      <c r="F27" s="131" t="s">
        <v>13</v>
      </c>
      <c r="G27" s="133" t="s">
        <v>452</v>
      </c>
      <c r="H27" s="133">
        <f>260.52-156</f>
        <v>104.51999999999998</v>
      </c>
    </row>
    <row r="28" spans="1:8" ht="15.75">
      <c r="B28" s="129">
        <v>6</v>
      </c>
      <c r="C28" s="190"/>
      <c r="D28" s="190"/>
      <c r="E28" s="130" t="s">
        <v>45</v>
      </c>
      <c r="F28" s="190"/>
      <c r="G28" s="190"/>
      <c r="H28" s="190"/>
    </row>
    <row r="29" spans="1:8" ht="47.25">
      <c r="B29" s="138" t="s">
        <v>33</v>
      </c>
      <c r="C29" s="131" t="s">
        <v>10</v>
      </c>
      <c r="D29" s="131" t="s">
        <v>47</v>
      </c>
      <c r="E29" s="132" t="s">
        <v>48</v>
      </c>
      <c r="F29" s="131" t="s">
        <v>13</v>
      </c>
      <c r="G29" s="134" t="s">
        <v>453</v>
      </c>
      <c r="H29" s="133">
        <f>(1.78*0.65*0.07*2)+(1.5*0.65*0.07)+(1.4*0.8*0.07*3)</f>
        <v>0.46543000000000001</v>
      </c>
    </row>
    <row r="30" spans="1:8" ht="47.25">
      <c r="B30" s="138" t="s">
        <v>38</v>
      </c>
      <c r="C30" s="131" t="s">
        <v>289</v>
      </c>
      <c r="D30" s="131" t="s">
        <v>591</v>
      </c>
      <c r="E30" s="186" t="s">
        <v>602</v>
      </c>
      <c r="F30" s="131" t="s">
        <v>13</v>
      </c>
      <c r="G30" s="133" t="s">
        <v>454</v>
      </c>
      <c r="H30" s="133">
        <f>4.4+4.4+380+6.65</f>
        <v>395.45</v>
      </c>
    </row>
    <row r="31" spans="1:8" ht="15.75">
      <c r="B31" s="129">
        <v>7</v>
      </c>
      <c r="C31" s="190"/>
      <c r="D31" s="190"/>
      <c r="E31" s="130" t="s">
        <v>50</v>
      </c>
      <c r="F31" s="190"/>
      <c r="G31" s="190"/>
      <c r="H31" s="190"/>
    </row>
    <row r="32" spans="1:8" ht="31.5">
      <c r="B32" s="138" t="s">
        <v>46</v>
      </c>
      <c r="C32" s="131" t="s">
        <v>289</v>
      </c>
      <c r="D32" s="131" t="s">
        <v>603</v>
      </c>
      <c r="E32" s="132" t="s">
        <v>609</v>
      </c>
      <c r="F32" s="131" t="s">
        <v>13</v>
      </c>
      <c r="G32" s="133" t="s">
        <v>455</v>
      </c>
      <c r="H32" s="133">
        <f>146.08+95.38</f>
        <v>241.46</v>
      </c>
    </row>
    <row r="33" spans="2:8" ht="31.5">
      <c r="B33" s="138" t="s">
        <v>49</v>
      </c>
      <c r="C33" s="131" t="s">
        <v>10</v>
      </c>
      <c r="D33" s="131">
        <v>88489</v>
      </c>
      <c r="E33" s="132" t="s">
        <v>53</v>
      </c>
      <c r="F33" s="131" t="s">
        <v>13</v>
      </c>
      <c r="G33" s="133" t="s">
        <v>456</v>
      </c>
      <c r="H33" s="133">
        <v>789.68</v>
      </c>
    </row>
    <row r="34" spans="2:8" ht="63">
      <c r="B34" s="138" t="s">
        <v>102</v>
      </c>
      <c r="C34" s="131" t="s">
        <v>10</v>
      </c>
      <c r="D34" s="131">
        <v>100758</v>
      </c>
      <c r="E34" s="132" t="s">
        <v>514</v>
      </c>
      <c r="F34" s="131" t="s">
        <v>13</v>
      </c>
      <c r="G34" s="134" t="s">
        <v>564</v>
      </c>
      <c r="H34" s="133">
        <v>16.8</v>
      </c>
    </row>
    <row r="35" spans="2:8" ht="15.75">
      <c r="B35" s="129">
        <v>8</v>
      </c>
      <c r="C35" s="190"/>
      <c r="D35" s="190"/>
      <c r="E35" s="130" t="s">
        <v>121</v>
      </c>
      <c r="F35" s="190"/>
      <c r="G35" s="190"/>
      <c r="H35" s="190"/>
    </row>
    <row r="36" spans="2:8" ht="31.5">
      <c r="B36" s="138" t="s">
        <v>106</v>
      </c>
      <c r="C36" s="131" t="s">
        <v>289</v>
      </c>
      <c r="D36" s="131" t="s">
        <v>427</v>
      </c>
      <c r="E36" s="136" t="s">
        <v>428</v>
      </c>
      <c r="F36" s="131" t="s">
        <v>13</v>
      </c>
      <c r="G36" s="133" t="s">
        <v>582</v>
      </c>
      <c r="H36" s="133">
        <v>9.3000000000000007</v>
      </c>
    </row>
    <row r="37" spans="2:8" ht="31.5">
      <c r="B37" s="138" t="s">
        <v>124</v>
      </c>
      <c r="C37" s="131" t="s">
        <v>22</v>
      </c>
      <c r="D37" s="131">
        <v>4917</v>
      </c>
      <c r="E37" s="136" t="s">
        <v>29</v>
      </c>
      <c r="F37" s="131" t="s">
        <v>13</v>
      </c>
      <c r="G37" s="133" t="s">
        <v>565</v>
      </c>
      <c r="H37" s="133">
        <v>4.32</v>
      </c>
    </row>
    <row r="38" spans="2:8" ht="15.75">
      <c r="B38" s="129">
        <v>9</v>
      </c>
      <c r="C38" s="190"/>
      <c r="D38" s="190"/>
      <c r="E38" s="130" t="s">
        <v>63</v>
      </c>
      <c r="F38" s="190"/>
      <c r="G38" s="190"/>
      <c r="H38" s="190"/>
    </row>
    <row r="39" spans="2:8" ht="31.5">
      <c r="B39" s="138" t="s">
        <v>108</v>
      </c>
      <c r="C39" s="131" t="s">
        <v>10</v>
      </c>
      <c r="D39" s="131" t="s">
        <v>54</v>
      </c>
      <c r="E39" s="132" t="s">
        <v>55</v>
      </c>
      <c r="F39" s="131" t="s">
        <v>13</v>
      </c>
      <c r="G39" s="134" t="s">
        <v>457</v>
      </c>
      <c r="H39" s="133">
        <f>(15.15*22.15)+(12.13*4.65)+(3.5*6.13)</f>
        <v>413.43199999999996</v>
      </c>
    </row>
    <row r="40" spans="2:8" ht="15.75">
      <c r="B40" s="197"/>
      <c r="C40" s="197"/>
      <c r="D40" s="197"/>
      <c r="E40" s="197"/>
      <c r="F40" s="197"/>
      <c r="G40" s="197"/>
      <c r="H40" s="197"/>
    </row>
    <row r="41" spans="2:8" ht="15.75">
      <c r="B41" s="189" t="s">
        <v>65</v>
      </c>
      <c r="C41" s="189"/>
      <c r="D41" s="189"/>
      <c r="E41" s="189"/>
      <c r="F41" s="189"/>
      <c r="G41" s="189"/>
      <c r="H41" s="189"/>
    </row>
    <row r="42" spans="2:8" ht="15.75">
      <c r="B42" s="129">
        <v>1</v>
      </c>
      <c r="C42" s="190"/>
      <c r="D42" s="190"/>
      <c r="E42" s="130" t="s">
        <v>15</v>
      </c>
      <c r="F42" s="190"/>
      <c r="G42" s="190"/>
      <c r="H42" s="190"/>
    </row>
    <row r="43" spans="2:8" ht="31.5">
      <c r="B43" s="138" t="s">
        <v>14</v>
      </c>
      <c r="C43" s="131" t="s">
        <v>10</v>
      </c>
      <c r="D43" s="131">
        <v>98524</v>
      </c>
      <c r="E43" s="139" t="s">
        <v>515</v>
      </c>
      <c r="F43" s="140" t="s">
        <v>13</v>
      </c>
      <c r="G43" s="141" t="s">
        <v>458</v>
      </c>
      <c r="H43" s="133">
        <f>612+178-78</f>
        <v>712</v>
      </c>
    </row>
    <row r="44" spans="2:8" ht="47.25">
      <c r="B44" s="138" t="s">
        <v>16</v>
      </c>
      <c r="C44" s="131" t="s">
        <v>10</v>
      </c>
      <c r="D44" s="131">
        <v>99059</v>
      </c>
      <c r="E44" s="136" t="s">
        <v>66</v>
      </c>
      <c r="F44" s="131" t="s">
        <v>67</v>
      </c>
      <c r="G44" s="142">
        <v>97.2</v>
      </c>
      <c r="H44" s="133">
        <v>97.2</v>
      </c>
    </row>
    <row r="45" spans="2:8" ht="15.75">
      <c r="B45" s="129">
        <v>2</v>
      </c>
      <c r="C45" s="190"/>
      <c r="D45" s="190"/>
      <c r="E45" s="130" t="s">
        <v>68</v>
      </c>
      <c r="F45" s="190"/>
      <c r="G45" s="190"/>
      <c r="H45" s="190"/>
    </row>
    <row r="46" spans="2:8" ht="47.25">
      <c r="B46" s="138" t="s">
        <v>62</v>
      </c>
      <c r="C46" s="131" t="s">
        <v>10</v>
      </c>
      <c r="D46" s="131">
        <v>100899</v>
      </c>
      <c r="E46" s="132" t="s">
        <v>516</v>
      </c>
      <c r="F46" s="131" t="s">
        <v>67</v>
      </c>
      <c r="G46" s="133" t="s">
        <v>459</v>
      </c>
      <c r="H46" s="133">
        <f>(27+74)*4</f>
        <v>404</v>
      </c>
    </row>
    <row r="47" spans="2:8" ht="31.5">
      <c r="B47" s="138" t="s">
        <v>69</v>
      </c>
      <c r="C47" s="131" t="s">
        <v>10</v>
      </c>
      <c r="D47" s="131">
        <v>92791</v>
      </c>
      <c r="E47" s="136" t="s">
        <v>605</v>
      </c>
      <c r="F47" s="131" t="s">
        <v>70</v>
      </c>
      <c r="G47" s="133" t="s">
        <v>460</v>
      </c>
      <c r="H47" s="133">
        <f>17*0.9*0.154*101</f>
        <v>237.97620000000003</v>
      </c>
    </row>
    <row r="48" spans="2:8" ht="31.5">
      <c r="B48" s="138" t="s">
        <v>71</v>
      </c>
      <c r="C48" s="131" t="s">
        <v>10</v>
      </c>
      <c r="D48" s="131">
        <v>92793</v>
      </c>
      <c r="E48" s="136" t="s">
        <v>75</v>
      </c>
      <c r="F48" s="131" t="s">
        <v>70</v>
      </c>
      <c r="G48" s="133" t="s">
        <v>461</v>
      </c>
      <c r="H48" s="133">
        <f>5*3*0.39*101</f>
        <v>590.85</v>
      </c>
    </row>
    <row r="49" spans="2:8" ht="31.5">
      <c r="B49" s="138" t="s">
        <v>76</v>
      </c>
      <c r="C49" s="131" t="s">
        <v>10</v>
      </c>
      <c r="D49" s="131" t="s">
        <v>77</v>
      </c>
      <c r="E49" s="136" t="s">
        <v>78</v>
      </c>
      <c r="F49" s="131" t="s">
        <v>20</v>
      </c>
      <c r="G49" s="133">
        <v>19.84</v>
      </c>
      <c r="H49" s="133">
        <v>19.84</v>
      </c>
    </row>
    <row r="50" spans="2:8" ht="15.75">
      <c r="B50" s="129">
        <v>3</v>
      </c>
      <c r="C50" s="190"/>
      <c r="D50" s="190"/>
      <c r="E50" s="130" t="s">
        <v>79</v>
      </c>
      <c r="F50" s="190"/>
      <c r="G50" s="190"/>
      <c r="H50" s="190"/>
    </row>
    <row r="51" spans="2:8" ht="31.5">
      <c r="B51" s="138" t="s">
        <v>21</v>
      </c>
      <c r="C51" s="131" t="s">
        <v>10</v>
      </c>
      <c r="D51" s="131">
        <v>96523</v>
      </c>
      <c r="E51" s="132" t="s">
        <v>517</v>
      </c>
      <c r="F51" s="131" t="s">
        <v>20</v>
      </c>
      <c r="G51" s="133" t="s">
        <v>462</v>
      </c>
      <c r="H51" s="133">
        <f>0.55*0.55*0.65*85</f>
        <v>16.713125000000005</v>
      </c>
    </row>
    <row r="52" spans="2:8" ht="31.5">
      <c r="B52" s="138" t="s">
        <v>23</v>
      </c>
      <c r="C52" s="131" t="s">
        <v>10</v>
      </c>
      <c r="D52" s="131">
        <v>96616</v>
      </c>
      <c r="E52" s="132" t="s">
        <v>518</v>
      </c>
      <c r="F52" s="131" t="s">
        <v>20</v>
      </c>
      <c r="G52" s="133" t="s">
        <v>463</v>
      </c>
      <c r="H52" s="133">
        <f>0.55*0.55*0.05*85</f>
        <v>1.2856250000000002</v>
      </c>
    </row>
    <row r="53" spans="2:8" ht="31.5">
      <c r="B53" s="138" t="s">
        <v>24</v>
      </c>
      <c r="C53" s="131" t="s">
        <v>22</v>
      </c>
      <c r="D53" s="131">
        <v>1355</v>
      </c>
      <c r="E53" s="132" t="s">
        <v>80</v>
      </c>
      <c r="F53" s="131" t="s">
        <v>13</v>
      </c>
      <c r="G53" s="133" t="s">
        <v>464</v>
      </c>
      <c r="H53" s="133">
        <f>0.5*0.6*4*85</f>
        <v>102</v>
      </c>
    </row>
    <row r="54" spans="2:8" ht="31.5">
      <c r="B54" s="138" t="s">
        <v>25</v>
      </c>
      <c r="C54" s="131" t="s">
        <v>10</v>
      </c>
      <c r="D54" s="143" t="s">
        <v>438</v>
      </c>
      <c r="E54" s="144" t="s">
        <v>439</v>
      </c>
      <c r="F54" s="131" t="s">
        <v>70</v>
      </c>
      <c r="G54" s="133">
        <v>584</v>
      </c>
      <c r="H54" s="133">
        <v>584</v>
      </c>
    </row>
    <row r="55" spans="2:8" ht="31.5">
      <c r="B55" s="138" t="s">
        <v>26</v>
      </c>
      <c r="C55" s="131" t="s">
        <v>10</v>
      </c>
      <c r="D55" s="131" t="s">
        <v>81</v>
      </c>
      <c r="E55" s="136" t="s">
        <v>82</v>
      </c>
      <c r="F55" s="131" t="s">
        <v>20</v>
      </c>
      <c r="G55" s="133" t="s">
        <v>465</v>
      </c>
      <c r="H55" s="133">
        <f>0.5*0.5*0.6*85</f>
        <v>12.75</v>
      </c>
    </row>
    <row r="56" spans="2:8" ht="31.5">
      <c r="B56" s="138" t="s">
        <v>27</v>
      </c>
      <c r="C56" s="131" t="s">
        <v>22</v>
      </c>
      <c r="D56" s="131">
        <v>2692</v>
      </c>
      <c r="E56" s="136" t="s">
        <v>83</v>
      </c>
      <c r="F56" s="131" t="s">
        <v>84</v>
      </c>
      <c r="G56" s="133">
        <v>66</v>
      </c>
      <c r="H56" s="133">
        <v>66</v>
      </c>
    </row>
    <row r="57" spans="2:8" ht="31.5">
      <c r="B57" s="138" t="s">
        <v>85</v>
      </c>
      <c r="C57" s="131" t="s">
        <v>10</v>
      </c>
      <c r="D57" s="131" t="s">
        <v>30</v>
      </c>
      <c r="E57" s="132" t="s">
        <v>31</v>
      </c>
      <c r="F57" s="131" t="s">
        <v>20</v>
      </c>
      <c r="G57" s="134" t="s">
        <v>466</v>
      </c>
      <c r="H57" s="133">
        <f>((0.025*0.6*0.55*2)+(0.025*0.6*0.5*2))*85</f>
        <v>2.6775000000000002</v>
      </c>
    </row>
    <row r="58" spans="2:8" ht="15.75">
      <c r="B58" s="129">
        <v>4</v>
      </c>
      <c r="C58" s="190"/>
      <c r="D58" s="190"/>
      <c r="E58" s="130" t="s">
        <v>86</v>
      </c>
      <c r="F58" s="190"/>
      <c r="G58" s="190"/>
      <c r="H58" s="190"/>
    </row>
    <row r="59" spans="2:8" ht="31.5">
      <c r="B59" s="138" t="s">
        <v>28</v>
      </c>
      <c r="C59" s="131" t="s">
        <v>10</v>
      </c>
      <c r="D59" s="131" t="s">
        <v>87</v>
      </c>
      <c r="E59" s="136" t="s">
        <v>88</v>
      </c>
      <c r="F59" s="131" t="s">
        <v>20</v>
      </c>
      <c r="G59" s="133" t="s">
        <v>467</v>
      </c>
      <c r="H59" s="133">
        <f>3.22+4.43+4.65+2.14</f>
        <v>14.440000000000001</v>
      </c>
    </row>
    <row r="60" spans="2:8" ht="47.25">
      <c r="B60" s="138" t="s">
        <v>89</v>
      </c>
      <c r="C60" s="131" t="s">
        <v>10</v>
      </c>
      <c r="D60" s="131">
        <v>94968</v>
      </c>
      <c r="E60" s="132" t="s">
        <v>519</v>
      </c>
      <c r="F60" s="131" t="s">
        <v>20</v>
      </c>
      <c r="G60" s="133" t="s">
        <v>469</v>
      </c>
      <c r="H60" s="133">
        <v>2.46</v>
      </c>
    </row>
    <row r="61" spans="2:8" ht="31.5">
      <c r="B61" s="138" t="s">
        <v>90</v>
      </c>
      <c r="C61" s="131" t="s">
        <v>22</v>
      </c>
      <c r="D61" s="131">
        <v>1355</v>
      </c>
      <c r="E61" s="136" t="s">
        <v>80</v>
      </c>
      <c r="F61" s="131" t="s">
        <v>13</v>
      </c>
      <c r="G61" s="133" t="s">
        <v>468</v>
      </c>
      <c r="H61" s="133">
        <f>46.27+73.8+76.35+35.62</f>
        <v>232.04</v>
      </c>
    </row>
    <row r="62" spans="2:8" ht="31.5">
      <c r="B62" s="138" t="s">
        <v>91</v>
      </c>
      <c r="C62" s="131" t="s">
        <v>10</v>
      </c>
      <c r="D62" s="131" t="s">
        <v>72</v>
      </c>
      <c r="E62" s="136" t="s">
        <v>73</v>
      </c>
      <c r="F62" s="131" t="s">
        <v>70</v>
      </c>
      <c r="G62" s="133">
        <v>293.2</v>
      </c>
      <c r="H62" s="133">
        <f>G62</f>
        <v>293.2</v>
      </c>
    </row>
    <row r="63" spans="2:8" ht="31.5">
      <c r="B63" s="138" t="s">
        <v>92</v>
      </c>
      <c r="C63" s="131" t="s">
        <v>10</v>
      </c>
      <c r="D63" s="131" t="s">
        <v>74</v>
      </c>
      <c r="E63" s="135" t="s">
        <v>75</v>
      </c>
      <c r="F63" s="131" t="s">
        <v>70</v>
      </c>
      <c r="G63" s="133">
        <v>364.07</v>
      </c>
      <c r="H63" s="133">
        <f t="shared" ref="H63:H67" si="0">G63</f>
        <v>364.07</v>
      </c>
    </row>
    <row r="64" spans="2:8" ht="31.5">
      <c r="B64" s="138" t="s">
        <v>95</v>
      </c>
      <c r="C64" s="131" t="s">
        <v>10</v>
      </c>
      <c r="D64" s="131" t="s">
        <v>93</v>
      </c>
      <c r="E64" s="136" t="s">
        <v>94</v>
      </c>
      <c r="F64" s="131" t="s">
        <v>70</v>
      </c>
      <c r="G64" s="133">
        <v>141.31</v>
      </c>
      <c r="H64" s="133">
        <f t="shared" si="0"/>
        <v>141.31</v>
      </c>
    </row>
    <row r="65" spans="2:8" ht="31.5">
      <c r="B65" s="138" t="s">
        <v>96</v>
      </c>
      <c r="C65" s="131" t="s">
        <v>10</v>
      </c>
      <c r="D65" s="131" t="s">
        <v>431</v>
      </c>
      <c r="E65" s="135" t="s">
        <v>432</v>
      </c>
      <c r="F65" s="131" t="s">
        <v>70</v>
      </c>
      <c r="G65" s="133">
        <v>106.76</v>
      </c>
      <c r="H65" s="133">
        <f t="shared" si="0"/>
        <v>106.76</v>
      </c>
    </row>
    <row r="66" spans="2:8" ht="31.5">
      <c r="B66" s="138" t="s">
        <v>97</v>
      </c>
      <c r="C66" s="131" t="s">
        <v>10</v>
      </c>
      <c r="D66" s="131" t="s">
        <v>81</v>
      </c>
      <c r="E66" s="136" t="s">
        <v>82</v>
      </c>
      <c r="F66" s="131" t="s">
        <v>20</v>
      </c>
      <c r="G66" s="133">
        <v>11.98</v>
      </c>
      <c r="H66" s="133">
        <f t="shared" si="0"/>
        <v>11.98</v>
      </c>
    </row>
    <row r="67" spans="2:8" ht="31.5">
      <c r="B67" s="138" t="s">
        <v>429</v>
      </c>
      <c r="C67" s="131" t="s">
        <v>22</v>
      </c>
      <c r="D67" s="131">
        <v>2692</v>
      </c>
      <c r="E67" s="136" t="s">
        <v>83</v>
      </c>
      <c r="F67" s="131" t="s">
        <v>84</v>
      </c>
      <c r="G67" s="133">
        <v>60</v>
      </c>
      <c r="H67" s="133">
        <f t="shared" si="0"/>
        <v>60</v>
      </c>
    </row>
    <row r="68" spans="2:8" ht="31.5">
      <c r="B68" s="138" t="s">
        <v>430</v>
      </c>
      <c r="C68" s="131" t="s">
        <v>10</v>
      </c>
      <c r="D68" s="131" t="s">
        <v>30</v>
      </c>
      <c r="E68" s="132" t="s">
        <v>31</v>
      </c>
      <c r="F68" s="131" t="s">
        <v>20</v>
      </c>
      <c r="G68" s="133" t="s">
        <v>469</v>
      </c>
      <c r="H68" s="133">
        <f>14.44-11.98</f>
        <v>2.4599999999999991</v>
      </c>
    </row>
    <row r="69" spans="2:8" ht="15.75">
      <c r="B69" s="129">
        <v>5</v>
      </c>
      <c r="C69" s="190"/>
      <c r="D69" s="190"/>
      <c r="E69" s="130" t="s">
        <v>98</v>
      </c>
      <c r="F69" s="190"/>
      <c r="G69" s="190"/>
      <c r="H69" s="190"/>
    </row>
    <row r="70" spans="2:8" ht="63">
      <c r="B70" s="138" t="s">
        <v>59</v>
      </c>
      <c r="C70" s="131" t="s">
        <v>10</v>
      </c>
      <c r="D70" s="131" t="s">
        <v>440</v>
      </c>
      <c r="E70" s="136" t="s">
        <v>441</v>
      </c>
      <c r="F70" s="131" t="s">
        <v>13</v>
      </c>
      <c r="G70" s="133" t="s">
        <v>470</v>
      </c>
      <c r="H70" s="133">
        <f>316.95+319.03+90.51+67.67-97.74</f>
        <v>696.42</v>
      </c>
    </row>
    <row r="71" spans="2:8" ht="15.75">
      <c r="B71" s="129">
        <v>6</v>
      </c>
      <c r="C71" s="190"/>
      <c r="D71" s="190"/>
      <c r="E71" s="130" t="s">
        <v>99</v>
      </c>
      <c r="F71" s="190"/>
      <c r="G71" s="190"/>
      <c r="H71" s="190"/>
    </row>
    <row r="72" spans="2:8" ht="31.5">
      <c r="B72" s="138" t="s">
        <v>33</v>
      </c>
      <c r="C72" s="131" t="s">
        <v>22</v>
      </c>
      <c r="D72" s="131">
        <v>1355</v>
      </c>
      <c r="E72" s="136" t="s">
        <v>80</v>
      </c>
      <c r="F72" s="131" t="s">
        <v>13</v>
      </c>
      <c r="G72" s="134" t="s">
        <v>471</v>
      </c>
      <c r="H72" s="133">
        <v>195</v>
      </c>
    </row>
    <row r="73" spans="2:8" ht="31.5">
      <c r="B73" s="138" t="s">
        <v>38</v>
      </c>
      <c r="C73" s="131" t="s">
        <v>10</v>
      </c>
      <c r="D73" s="131" t="s">
        <v>72</v>
      </c>
      <c r="E73" s="136" t="s">
        <v>73</v>
      </c>
      <c r="F73" s="131" t="s">
        <v>70</v>
      </c>
      <c r="G73" s="133">
        <v>319</v>
      </c>
      <c r="H73" s="133">
        <f>G73</f>
        <v>319</v>
      </c>
    </row>
    <row r="74" spans="2:8" ht="31.5">
      <c r="B74" s="138" t="s">
        <v>39</v>
      </c>
      <c r="C74" s="131" t="s">
        <v>10</v>
      </c>
      <c r="D74" s="131" t="s">
        <v>93</v>
      </c>
      <c r="E74" s="136" t="s">
        <v>94</v>
      </c>
      <c r="F74" s="131" t="s">
        <v>70</v>
      </c>
      <c r="G74" s="133">
        <v>830</v>
      </c>
      <c r="H74" s="133">
        <f>G74</f>
        <v>830</v>
      </c>
    </row>
    <row r="75" spans="2:8" ht="31.5">
      <c r="B75" s="138" t="s">
        <v>42</v>
      </c>
      <c r="C75" s="131" t="s">
        <v>10</v>
      </c>
      <c r="D75" s="131" t="s">
        <v>81</v>
      </c>
      <c r="E75" s="136" t="s">
        <v>82</v>
      </c>
      <c r="F75" s="131" t="s">
        <v>20</v>
      </c>
      <c r="G75" s="134" t="s">
        <v>472</v>
      </c>
      <c r="H75" s="133">
        <f>(0.2*0.2*2.5*14)+(0.12*0.3*2.8*71)</f>
        <v>8.5567999999999991</v>
      </c>
    </row>
    <row r="76" spans="2:8" ht="31.5">
      <c r="B76" s="138" t="s">
        <v>100</v>
      </c>
      <c r="C76" s="131" t="s">
        <v>22</v>
      </c>
      <c r="D76" s="131">
        <v>2692</v>
      </c>
      <c r="E76" s="136" t="s">
        <v>83</v>
      </c>
      <c r="F76" s="131" t="s">
        <v>84</v>
      </c>
      <c r="G76" s="133">
        <v>60</v>
      </c>
      <c r="H76" s="133">
        <v>60</v>
      </c>
    </row>
    <row r="77" spans="2:8" ht="15.75">
      <c r="B77" s="129">
        <v>7</v>
      </c>
      <c r="C77" s="190"/>
      <c r="D77" s="190"/>
      <c r="E77" s="130" t="s">
        <v>101</v>
      </c>
      <c r="F77" s="190"/>
      <c r="G77" s="190"/>
      <c r="H77" s="190"/>
    </row>
    <row r="78" spans="2:8" ht="31.5">
      <c r="B78" s="138" t="s">
        <v>46</v>
      </c>
      <c r="C78" s="131" t="s">
        <v>22</v>
      </c>
      <c r="D78" s="131">
        <v>1355</v>
      </c>
      <c r="E78" s="136" t="s">
        <v>80</v>
      </c>
      <c r="F78" s="131" t="s">
        <v>13</v>
      </c>
      <c r="G78" s="133" t="s">
        <v>473</v>
      </c>
      <c r="H78" s="133">
        <f>21.18+65.23+83.72+67.45+44.12</f>
        <v>281.7</v>
      </c>
    </row>
    <row r="79" spans="2:8" ht="31.5">
      <c r="B79" s="138" t="s">
        <v>49</v>
      </c>
      <c r="C79" s="131" t="s">
        <v>10</v>
      </c>
      <c r="D79" s="131" t="s">
        <v>72</v>
      </c>
      <c r="E79" s="136" t="s">
        <v>73</v>
      </c>
      <c r="F79" s="131" t="s">
        <v>70</v>
      </c>
      <c r="G79" s="133">
        <v>318.27</v>
      </c>
      <c r="H79" s="133">
        <v>318.27</v>
      </c>
    </row>
    <row r="80" spans="2:8" ht="31.5">
      <c r="B80" s="138" t="s">
        <v>102</v>
      </c>
      <c r="C80" s="131" t="s">
        <v>10</v>
      </c>
      <c r="D80" s="131" t="s">
        <v>74</v>
      </c>
      <c r="E80" s="135" t="s">
        <v>75</v>
      </c>
      <c r="F80" s="131" t="s">
        <v>70</v>
      </c>
      <c r="G80" s="133">
        <v>274.98</v>
      </c>
      <c r="H80" s="133">
        <v>274.98</v>
      </c>
    </row>
    <row r="81" spans="2:8" ht="31.5">
      <c r="B81" s="138" t="s">
        <v>103</v>
      </c>
      <c r="C81" s="131" t="s">
        <v>10</v>
      </c>
      <c r="D81" s="131" t="s">
        <v>93</v>
      </c>
      <c r="E81" s="136" t="s">
        <v>94</v>
      </c>
      <c r="F81" s="131" t="s">
        <v>70</v>
      </c>
      <c r="G81" s="133">
        <v>259.18</v>
      </c>
      <c r="H81" s="133">
        <v>259.18</v>
      </c>
    </row>
    <row r="82" spans="2:8" ht="31.5">
      <c r="B82" s="138" t="s">
        <v>104</v>
      </c>
      <c r="C82" s="131" t="s">
        <v>10</v>
      </c>
      <c r="D82" s="131" t="s">
        <v>431</v>
      </c>
      <c r="E82" s="135" t="s">
        <v>432</v>
      </c>
      <c r="F82" s="131" t="s">
        <v>70</v>
      </c>
      <c r="G82" s="133">
        <v>296.02</v>
      </c>
      <c r="H82" s="133">
        <v>296.02</v>
      </c>
    </row>
    <row r="83" spans="2:8" ht="31.5">
      <c r="B83" s="138" t="s">
        <v>433</v>
      </c>
      <c r="C83" s="131" t="s">
        <v>10</v>
      </c>
      <c r="D83" s="131" t="s">
        <v>81</v>
      </c>
      <c r="E83" s="136" t="s">
        <v>82</v>
      </c>
      <c r="F83" s="131" t="s">
        <v>20</v>
      </c>
      <c r="G83" s="133" t="s">
        <v>474</v>
      </c>
      <c r="H83" s="133">
        <f>1.05+3.73+4.51+3.36</f>
        <v>12.649999999999999</v>
      </c>
    </row>
    <row r="84" spans="2:8" ht="31.5">
      <c r="B84" s="138" t="s">
        <v>434</v>
      </c>
      <c r="C84" s="131" t="s">
        <v>22</v>
      </c>
      <c r="D84" s="131">
        <v>2692</v>
      </c>
      <c r="E84" s="136" t="s">
        <v>83</v>
      </c>
      <c r="F84" s="131" t="s">
        <v>84</v>
      </c>
      <c r="G84" s="133">
        <v>60</v>
      </c>
      <c r="H84" s="133">
        <v>60</v>
      </c>
    </row>
    <row r="85" spans="2:8" ht="15.75">
      <c r="B85" s="129">
        <v>8</v>
      </c>
      <c r="C85" s="190"/>
      <c r="D85" s="190"/>
      <c r="E85" s="130" t="s">
        <v>105</v>
      </c>
      <c r="F85" s="190"/>
      <c r="G85" s="190"/>
      <c r="H85" s="190"/>
    </row>
    <row r="86" spans="2:8" ht="47.25">
      <c r="B86" s="138" t="s">
        <v>106</v>
      </c>
      <c r="C86" s="131" t="s">
        <v>10</v>
      </c>
      <c r="D86" s="131">
        <v>101964</v>
      </c>
      <c r="E86" s="132" t="s">
        <v>520</v>
      </c>
      <c r="F86" s="131" t="s">
        <v>13</v>
      </c>
      <c r="G86" s="133" t="s">
        <v>475</v>
      </c>
      <c r="H86" s="133">
        <f>670-60-77.85</f>
        <v>532.15</v>
      </c>
    </row>
    <row r="87" spans="2:8" ht="15.75">
      <c r="B87" s="129">
        <v>9</v>
      </c>
      <c r="C87" s="190"/>
      <c r="D87" s="190"/>
      <c r="E87" s="130" t="s">
        <v>107</v>
      </c>
      <c r="F87" s="190"/>
      <c r="G87" s="190"/>
      <c r="H87" s="190"/>
    </row>
    <row r="88" spans="2:8" ht="47.25">
      <c r="B88" s="138" t="s">
        <v>108</v>
      </c>
      <c r="C88" s="131" t="s">
        <v>10</v>
      </c>
      <c r="D88" s="131" t="s">
        <v>109</v>
      </c>
      <c r="E88" s="136" t="s">
        <v>110</v>
      </c>
      <c r="F88" s="131" t="s">
        <v>13</v>
      </c>
      <c r="G88" s="133" t="s">
        <v>476</v>
      </c>
      <c r="H88" s="133">
        <f>733-77.85</f>
        <v>655.15</v>
      </c>
    </row>
    <row r="89" spans="2:8" ht="31.5">
      <c r="B89" s="138" t="s">
        <v>111</v>
      </c>
      <c r="C89" s="131" t="s">
        <v>10</v>
      </c>
      <c r="D89" s="131" t="s">
        <v>112</v>
      </c>
      <c r="E89" s="136" t="s">
        <v>113</v>
      </c>
      <c r="F89" s="131" t="s">
        <v>13</v>
      </c>
      <c r="G89" s="133" t="s">
        <v>477</v>
      </c>
      <c r="H89" s="133">
        <f>733-77.85</f>
        <v>655.15</v>
      </c>
    </row>
    <row r="90" spans="2:8" ht="15.75">
      <c r="B90" s="145">
        <v>10</v>
      </c>
      <c r="C90" s="198"/>
      <c r="D90" s="199"/>
      <c r="E90" s="146" t="s">
        <v>114</v>
      </c>
      <c r="F90" s="198"/>
      <c r="G90" s="200"/>
      <c r="H90" s="199"/>
    </row>
    <row r="91" spans="2:8" ht="47.25">
      <c r="B91" s="138" t="s">
        <v>51</v>
      </c>
      <c r="C91" s="131" t="s">
        <v>10</v>
      </c>
      <c r="D91" s="131" t="s">
        <v>34</v>
      </c>
      <c r="E91" s="132" t="s">
        <v>35</v>
      </c>
      <c r="F91" s="131" t="s">
        <v>13</v>
      </c>
      <c r="G91" s="134" t="s">
        <v>478</v>
      </c>
      <c r="H91" s="133">
        <f>(2*696.42)+(0.2*390.358*2)+532.15</f>
        <v>2081.1331999999998</v>
      </c>
    </row>
    <row r="92" spans="2:8" ht="78.75">
      <c r="B92" s="138" t="s">
        <v>52</v>
      </c>
      <c r="C92" s="131" t="s">
        <v>10</v>
      </c>
      <c r="D92" s="131" t="s">
        <v>36</v>
      </c>
      <c r="E92" s="132" t="s">
        <v>37</v>
      </c>
      <c r="F92" s="131" t="s">
        <v>13</v>
      </c>
      <c r="G92" s="134" t="s">
        <v>479</v>
      </c>
      <c r="H92" s="133">
        <f>7.84+59.34+52.11+30.57+32.64+5.58+25.14+39.24+20.47+21.67+20.17+20.52+112.04+21.32</f>
        <v>468.65000000000009</v>
      </c>
    </row>
    <row r="93" spans="2:8" ht="63">
      <c r="B93" s="138" t="s">
        <v>56</v>
      </c>
      <c r="C93" s="131" t="s">
        <v>10</v>
      </c>
      <c r="D93" s="131" t="s">
        <v>40</v>
      </c>
      <c r="E93" s="132" t="s">
        <v>41</v>
      </c>
      <c r="F93" s="131" t="s">
        <v>13</v>
      </c>
      <c r="G93" s="134" t="s">
        <v>479</v>
      </c>
      <c r="H93" s="133">
        <f>7.84+59.34+52.11+30.57+32.64+5.58+25.14+39.24+20.47+21.67+20.17+20.52+112.04+21.32</f>
        <v>468.65000000000009</v>
      </c>
    </row>
    <row r="94" spans="2:8" ht="63">
      <c r="B94" s="138" t="s">
        <v>57</v>
      </c>
      <c r="C94" s="131" t="s">
        <v>10</v>
      </c>
      <c r="D94" s="131" t="s">
        <v>43</v>
      </c>
      <c r="E94" s="132" t="s">
        <v>44</v>
      </c>
      <c r="F94" s="131" t="s">
        <v>13</v>
      </c>
      <c r="G94" s="133" t="s">
        <v>480</v>
      </c>
      <c r="H94" s="133">
        <f>2081.13-468.65</f>
        <v>1612.48</v>
      </c>
    </row>
    <row r="95" spans="2:8" ht="15.75">
      <c r="B95" s="129">
        <v>11</v>
      </c>
      <c r="C95" s="190"/>
      <c r="D95" s="190"/>
      <c r="E95" s="130" t="s">
        <v>45</v>
      </c>
      <c r="F95" s="190"/>
      <c r="G95" s="190"/>
      <c r="H95" s="190"/>
    </row>
    <row r="96" spans="2:8" ht="47.25">
      <c r="B96" s="138" t="s">
        <v>64</v>
      </c>
      <c r="C96" s="131" t="s">
        <v>10</v>
      </c>
      <c r="D96" s="131" t="s">
        <v>47</v>
      </c>
      <c r="E96" s="136" t="s">
        <v>48</v>
      </c>
      <c r="F96" s="131" t="s">
        <v>13</v>
      </c>
      <c r="G96" s="133">
        <v>712.35</v>
      </c>
      <c r="H96" s="133">
        <v>712.35</v>
      </c>
    </row>
    <row r="97" spans="2:8" ht="47.25">
      <c r="B97" s="138" t="s">
        <v>115</v>
      </c>
      <c r="C97" s="131" t="s">
        <v>289</v>
      </c>
      <c r="D97" s="131" t="s">
        <v>591</v>
      </c>
      <c r="E97" s="136" t="s">
        <v>602</v>
      </c>
      <c r="F97" s="131" t="s">
        <v>13</v>
      </c>
      <c r="G97" s="133">
        <v>532.15</v>
      </c>
      <c r="H97" s="133">
        <v>532.15</v>
      </c>
    </row>
    <row r="98" spans="2:8" ht="31.5">
      <c r="B98" s="138" t="s">
        <v>127</v>
      </c>
      <c r="C98" s="131" t="s">
        <v>22</v>
      </c>
      <c r="D98" s="131">
        <v>38181</v>
      </c>
      <c r="E98" s="136" t="s">
        <v>128</v>
      </c>
      <c r="F98" s="131" t="s">
        <v>13</v>
      </c>
      <c r="G98" s="133">
        <v>120</v>
      </c>
      <c r="H98" s="133">
        <v>120</v>
      </c>
    </row>
    <row r="99" spans="2:8" ht="15.75">
      <c r="B99" s="129">
        <v>12</v>
      </c>
      <c r="C99" s="190"/>
      <c r="D99" s="190"/>
      <c r="E99" s="130" t="s">
        <v>534</v>
      </c>
      <c r="F99" s="190"/>
      <c r="G99" s="190"/>
      <c r="H99" s="190"/>
    </row>
    <row r="100" spans="2:8" ht="78.75">
      <c r="B100" s="138" t="s">
        <v>116</v>
      </c>
      <c r="C100" s="131" t="s">
        <v>289</v>
      </c>
      <c r="D100" s="131" t="s">
        <v>526</v>
      </c>
      <c r="E100" s="132" t="s">
        <v>527</v>
      </c>
      <c r="F100" s="131" t="s">
        <v>13</v>
      </c>
      <c r="G100" s="147" t="s">
        <v>566</v>
      </c>
      <c r="H100" s="137">
        <v>11.77</v>
      </c>
    </row>
    <row r="101" spans="2:8" ht="63">
      <c r="B101" s="138" t="s">
        <v>117</v>
      </c>
      <c r="C101" s="131" t="s">
        <v>10</v>
      </c>
      <c r="D101" s="131">
        <v>94573</v>
      </c>
      <c r="E101" s="132" t="s">
        <v>528</v>
      </c>
      <c r="F101" s="131" t="s">
        <v>13</v>
      </c>
      <c r="G101" s="147" t="s">
        <v>567</v>
      </c>
      <c r="H101" s="137">
        <v>49.2</v>
      </c>
    </row>
    <row r="102" spans="2:8" ht="78.75">
      <c r="B102" s="138" t="s">
        <v>118</v>
      </c>
      <c r="C102" s="131" t="s">
        <v>289</v>
      </c>
      <c r="D102" s="131" t="s">
        <v>400</v>
      </c>
      <c r="E102" s="132" t="s">
        <v>530</v>
      </c>
      <c r="F102" s="131" t="s">
        <v>13</v>
      </c>
      <c r="G102" s="137" t="s">
        <v>568</v>
      </c>
      <c r="H102" s="137">
        <v>11.76</v>
      </c>
    </row>
    <row r="103" spans="2:8" ht="63">
      <c r="B103" s="138" t="s">
        <v>119</v>
      </c>
      <c r="C103" s="131" t="s">
        <v>289</v>
      </c>
      <c r="D103" s="131" t="s">
        <v>535</v>
      </c>
      <c r="E103" s="132" t="s">
        <v>536</v>
      </c>
      <c r="F103" s="131" t="s">
        <v>13</v>
      </c>
      <c r="G103" s="137" t="s">
        <v>570</v>
      </c>
      <c r="H103" s="137">
        <v>3.36</v>
      </c>
    </row>
    <row r="104" spans="2:8" ht="47.25">
      <c r="B104" s="138" t="s">
        <v>537</v>
      </c>
      <c r="C104" s="131" t="s">
        <v>10</v>
      </c>
      <c r="D104" s="131">
        <v>94805</v>
      </c>
      <c r="E104" s="132" t="s">
        <v>532</v>
      </c>
      <c r="F104" s="131" t="s">
        <v>13</v>
      </c>
      <c r="G104" s="137" t="s">
        <v>569</v>
      </c>
      <c r="H104" s="137">
        <v>23.52</v>
      </c>
    </row>
    <row r="105" spans="2:8" ht="47.25">
      <c r="B105" s="138" t="s">
        <v>538</v>
      </c>
      <c r="C105" s="131" t="s">
        <v>10</v>
      </c>
      <c r="D105" s="131">
        <v>91338</v>
      </c>
      <c r="E105" s="132" t="s">
        <v>529</v>
      </c>
      <c r="F105" s="131" t="s">
        <v>13</v>
      </c>
      <c r="G105" s="137" t="s">
        <v>571</v>
      </c>
      <c r="H105" s="137">
        <v>31.92</v>
      </c>
    </row>
    <row r="106" spans="2:8" ht="63">
      <c r="B106" s="138" t="s">
        <v>541</v>
      </c>
      <c r="C106" s="131" t="s">
        <v>10</v>
      </c>
      <c r="D106" s="131" t="s">
        <v>539</v>
      </c>
      <c r="E106" s="132" t="s">
        <v>540</v>
      </c>
      <c r="F106" s="131" t="s">
        <v>13</v>
      </c>
      <c r="G106" s="147" t="s">
        <v>572</v>
      </c>
      <c r="H106" s="137">
        <v>102.08</v>
      </c>
    </row>
    <row r="107" spans="2:8" ht="31.5">
      <c r="B107" s="138" t="s">
        <v>543</v>
      </c>
      <c r="C107" s="131" t="s">
        <v>289</v>
      </c>
      <c r="D107" s="131" t="s">
        <v>542</v>
      </c>
      <c r="E107" s="132" t="s">
        <v>546</v>
      </c>
      <c r="F107" s="131" t="s">
        <v>13</v>
      </c>
      <c r="G107" s="147" t="s">
        <v>573</v>
      </c>
      <c r="H107" s="137">
        <v>52</v>
      </c>
    </row>
    <row r="108" spans="2:8" ht="31.5">
      <c r="B108" s="138" t="s">
        <v>544</v>
      </c>
      <c r="C108" s="131" t="s">
        <v>289</v>
      </c>
      <c r="D108" s="131" t="s">
        <v>545</v>
      </c>
      <c r="E108" s="132" t="s">
        <v>547</v>
      </c>
      <c r="F108" s="131" t="s">
        <v>13</v>
      </c>
      <c r="G108" s="137" t="s">
        <v>574</v>
      </c>
      <c r="H108" s="137">
        <v>9.18</v>
      </c>
    </row>
    <row r="109" spans="2:8" ht="31.5">
      <c r="B109" s="138" t="s">
        <v>549</v>
      </c>
      <c r="C109" s="131" t="s">
        <v>289</v>
      </c>
      <c r="D109" s="131" t="s">
        <v>542</v>
      </c>
      <c r="E109" s="132" t="s">
        <v>548</v>
      </c>
      <c r="F109" s="131" t="s">
        <v>13</v>
      </c>
      <c r="G109" s="137" t="s">
        <v>575</v>
      </c>
      <c r="H109" s="137">
        <v>7</v>
      </c>
    </row>
    <row r="110" spans="2:8" ht="15.75">
      <c r="B110" s="138" t="s">
        <v>552</v>
      </c>
      <c r="C110" s="131" t="s">
        <v>289</v>
      </c>
      <c r="D110" s="131" t="s">
        <v>550</v>
      </c>
      <c r="E110" s="132" t="s">
        <v>551</v>
      </c>
      <c r="F110" s="131" t="s">
        <v>13</v>
      </c>
      <c r="G110" s="137" t="s">
        <v>570</v>
      </c>
      <c r="H110" s="137">
        <v>3.36</v>
      </c>
    </row>
    <row r="111" spans="2:8" ht="94.5">
      <c r="B111" s="138" t="s">
        <v>587</v>
      </c>
      <c r="C111" s="131" t="s">
        <v>289</v>
      </c>
      <c r="D111" s="131" t="s">
        <v>589</v>
      </c>
      <c r="E111" s="132" t="s">
        <v>590</v>
      </c>
      <c r="F111" s="131" t="s">
        <v>136</v>
      </c>
      <c r="G111" s="137">
        <v>1</v>
      </c>
      <c r="H111" s="137">
        <v>1</v>
      </c>
    </row>
    <row r="112" spans="2:8" ht="15.75">
      <c r="B112" s="129">
        <v>13</v>
      </c>
      <c r="C112" s="198"/>
      <c r="D112" s="199"/>
      <c r="E112" s="130" t="s">
        <v>121</v>
      </c>
      <c r="F112" s="190"/>
      <c r="G112" s="190"/>
      <c r="H112" s="190"/>
    </row>
    <row r="113" spans="2:8" ht="31.5">
      <c r="B113" s="138" t="s">
        <v>120</v>
      </c>
      <c r="C113" s="131" t="s">
        <v>289</v>
      </c>
      <c r="D113" s="131" t="s">
        <v>427</v>
      </c>
      <c r="E113" s="136" t="s">
        <v>428</v>
      </c>
      <c r="F113" s="131" t="s">
        <v>13</v>
      </c>
      <c r="G113" s="134" t="s">
        <v>583</v>
      </c>
      <c r="H113" s="133">
        <v>16.260000000000002</v>
      </c>
    </row>
    <row r="114" spans="2:8" ht="31.5">
      <c r="B114" s="138" t="s">
        <v>555</v>
      </c>
      <c r="C114" s="131" t="s">
        <v>22</v>
      </c>
      <c r="D114" s="131">
        <v>4917</v>
      </c>
      <c r="E114" s="136" t="s">
        <v>29</v>
      </c>
      <c r="F114" s="131" t="s">
        <v>13</v>
      </c>
      <c r="G114" s="133" t="s">
        <v>565</v>
      </c>
      <c r="H114" s="133">
        <v>4.32</v>
      </c>
    </row>
    <row r="115" spans="2:8" ht="15.75">
      <c r="B115" s="129">
        <v>14</v>
      </c>
      <c r="C115" s="198"/>
      <c r="D115" s="199"/>
      <c r="E115" s="130" t="s">
        <v>442</v>
      </c>
      <c r="F115" s="190"/>
      <c r="G115" s="190"/>
      <c r="H115" s="190"/>
    </row>
    <row r="116" spans="2:8" ht="47.25">
      <c r="B116" s="138" t="s">
        <v>122</v>
      </c>
      <c r="C116" s="131" t="s">
        <v>289</v>
      </c>
      <c r="D116" s="131" t="s">
        <v>603</v>
      </c>
      <c r="E116" s="132" t="s">
        <v>604</v>
      </c>
      <c r="F116" s="131" t="s">
        <v>13</v>
      </c>
      <c r="G116" s="133" t="s">
        <v>481</v>
      </c>
      <c r="H116" s="133">
        <f>(182.5*0.9)+(281*0.9)</f>
        <v>417.15</v>
      </c>
    </row>
    <row r="117" spans="2:8" ht="31.5">
      <c r="B117" s="138" t="s">
        <v>435</v>
      </c>
      <c r="C117" s="131" t="s">
        <v>10</v>
      </c>
      <c r="D117" s="131">
        <v>88489</v>
      </c>
      <c r="E117" s="132" t="s">
        <v>53</v>
      </c>
      <c r="F117" s="131" t="s">
        <v>13</v>
      </c>
      <c r="G117" s="133" t="s">
        <v>482</v>
      </c>
      <c r="H117" s="133">
        <f>1612.48-417.15</f>
        <v>1195.33</v>
      </c>
    </row>
    <row r="118" spans="2:8" ht="47.25">
      <c r="B118" s="138" t="s">
        <v>556</v>
      </c>
      <c r="C118" s="131" t="s">
        <v>10</v>
      </c>
      <c r="D118" s="131">
        <v>100741</v>
      </c>
      <c r="E118" s="132" t="s">
        <v>521</v>
      </c>
      <c r="F118" s="131" t="s">
        <v>13</v>
      </c>
      <c r="G118" s="148" t="s">
        <v>576</v>
      </c>
      <c r="H118" s="133">
        <v>213.32</v>
      </c>
    </row>
    <row r="119" spans="2:8" ht="15.75">
      <c r="B119" s="129">
        <v>15</v>
      </c>
      <c r="C119" s="190"/>
      <c r="D119" s="190"/>
      <c r="E119" s="130" t="s">
        <v>63</v>
      </c>
      <c r="F119" s="190"/>
      <c r="G119" s="190"/>
      <c r="H119" s="190"/>
    </row>
    <row r="120" spans="2:8" ht="15.75">
      <c r="B120" s="138" t="s">
        <v>123</v>
      </c>
      <c r="C120" s="131" t="s">
        <v>10</v>
      </c>
      <c r="D120" s="131" t="s">
        <v>54</v>
      </c>
      <c r="E120" s="132" t="s">
        <v>55</v>
      </c>
      <c r="F120" s="131" t="s">
        <v>13</v>
      </c>
      <c r="G120" s="133">
        <v>532.15</v>
      </c>
      <c r="H120" s="133">
        <v>532.15</v>
      </c>
    </row>
    <row r="121" spans="2:8" ht="15.75">
      <c r="B121" s="197"/>
      <c r="C121" s="197"/>
      <c r="D121" s="197"/>
      <c r="E121" s="197"/>
      <c r="F121" s="197"/>
      <c r="G121" s="197"/>
      <c r="H121" s="197"/>
    </row>
    <row r="122" spans="2:8" ht="15.75">
      <c r="B122" s="189" t="s">
        <v>397</v>
      </c>
      <c r="C122" s="189"/>
      <c r="D122" s="189"/>
      <c r="E122" s="189"/>
      <c r="F122" s="189"/>
      <c r="G122" s="189"/>
      <c r="H122" s="189"/>
    </row>
    <row r="123" spans="2:8" ht="15.75">
      <c r="B123" s="129">
        <v>1</v>
      </c>
      <c r="C123" s="190"/>
      <c r="D123" s="190"/>
      <c r="E123" s="149" t="s">
        <v>132</v>
      </c>
      <c r="F123" s="190"/>
      <c r="G123" s="190"/>
      <c r="H123" s="190"/>
    </row>
    <row r="124" spans="2:8" ht="15.75">
      <c r="B124" s="138" t="s">
        <v>14</v>
      </c>
      <c r="C124" s="150" t="s">
        <v>10</v>
      </c>
      <c r="D124" s="150">
        <v>38978</v>
      </c>
      <c r="E124" s="151" t="s">
        <v>133</v>
      </c>
      <c r="F124" s="150" t="s">
        <v>134</v>
      </c>
      <c r="G124" s="152">
        <v>47.17</v>
      </c>
      <c r="H124" s="152">
        <v>47.17</v>
      </c>
    </row>
    <row r="125" spans="2:8" ht="15.75">
      <c r="B125" s="138" t="s">
        <v>16</v>
      </c>
      <c r="C125" s="150" t="s">
        <v>10</v>
      </c>
      <c r="D125" s="150">
        <v>1031</v>
      </c>
      <c r="E125" s="151" t="s">
        <v>135</v>
      </c>
      <c r="F125" s="150" t="s">
        <v>136</v>
      </c>
      <c r="G125" s="152">
        <v>22</v>
      </c>
      <c r="H125" s="152">
        <v>22</v>
      </c>
    </row>
    <row r="126" spans="2:8" ht="47.25">
      <c r="B126" s="138" t="s">
        <v>19</v>
      </c>
      <c r="C126" s="150" t="s">
        <v>289</v>
      </c>
      <c r="D126" s="150" t="s">
        <v>593</v>
      </c>
      <c r="E126" s="151" t="s">
        <v>606</v>
      </c>
      <c r="F126" s="150" t="s">
        <v>136</v>
      </c>
      <c r="G126" s="152">
        <v>22</v>
      </c>
      <c r="H126" s="152">
        <v>22</v>
      </c>
    </row>
    <row r="127" spans="2:8" ht="15.75">
      <c r="B127" s="138" t="s">
        <v>213</v>
      </c>
      <c r="C127" s="150" t="s">
        <v>10</v>
      </c>
      <c r="D127" s="150">
        <v>9856</v>
      </c>
      <c r="E127" s="151" t="s">
        <v>137</v>
      </c>
      <c r="F127" s="150" t="s">
        <v>134</v>
      </c>
      <c r="G127" s="152">
        <v>0.28000000000000003</v>
      </c>
      <c r="H127" s="152">
        <v>0.28000000000000003</v>
      </c>
    </row>
    <row r="128" spans="2:8" ht="15.75">
      <c r="B128" s="138" t="s">
        <v>214</v>
      </c>
      <c r="C128" s="150" t="s">
        <v>10</v>
      </c>
      <c r="D128" s="150">
        <v>9867</v>
      </c>
      <c r="E128" s="151" t="s">
        <v>138</v>
      </c>
      <c r="F128" s="150" t="s">
        <v>134</v>
      </c>
      <c r="G128" s="152">
        <v>47.17</v>
      </c>
      <c r="H128" s="152">
        <v>47.17</v>
      </c>
    </row>
    <row r="129" spans="2:8" ht="15.75">
      <c r="B129" s="138" t="s">
        <v>215</v>
      </c>
      <c r="C129" s="150" t="s">
        <v>10</v>
      </c>
      <c r="D129" s="150">
        <v>9868</v>
      </c>
      <c r="E129" s="151" t="s">
        <v>139</v>
      </c>
      <c r="F129" s="150" t="s">
        <v>134</v>
      </c>
      <c r="G129" s="152">
        <f>266.91+71.24</f>
        <v>338.15000000000003</v>
      </c>
      <c r="H129" s="152">
        <f>266.91+71.24</f>
        <v>338.15000000000003</v>
      </c>
    </row>
    <row r="130" spans="2:8" ht="15.75">
      <c r="B130" s="138" t="s">
        <v>216</v>
      </c>
      <c r="C130" s="150" t="s">
        <v>10</v>
      </c>
      <c r="D130" s="150">
        <v>9875</v>
      </c>
      <c r="E130" s="151" t="s">
        <v>140</v>
      </c>
      <c r="F130" s="150" t="s">
        <v>134</v>
      </c>
      <c r="G130" s="152">
        <f>46.4+66.48</f>
        <v>112.88</v>
      </c>
      <c r="H130" s="152">
        <f>46.4+66.48</f>
        <v>112.88</v>
      </c>
    </row>
    <row r="131" spans="2:8" ht="15.75">
      <c r="B131" s="138" t="s">
        <v>217</v>
      </c>
      <c r="C131" s="150" t="s">
        <v>10</v>
      </c>
      <c r="D131" s="150">
        <v>9873</v>
      </c>
      <c r="E131" s="151" t="s">
        <v>141</v>
      </c>
      <c r="F131" s="150" t="s">
        <v>134</v>
      </c>
      <c r="G131" s="152">
        <v>70.89</v>
      </c>
      <c r="H131" s="152">
        <v>70.89</v>
      </c>
    </row>
    <row r="132" spans="2:8" ht="15.75">
      <c r="B132" s="138" t="s">
        <v>218</v>
      </c>
      <c r="C132" s="150" t="s">
        <v>10</v>
      </c>
      <c r="D132" s="150">
        <v>9871</v>
      </c>
      <c r="E132" s="151" t="s">
        <v>142</v>
      </c>
      <c r="F132" s="150" t="s">
        <v>134</v>
      </c>
      <c r="G132" s="152">
        <v>32.159999999999997</v>
      </c>
      <c r="H132" s="152">
        <v>32.159999999999997</v>
      </c>
    </row>
    <row r="133" spans="2:8" ht="15.75">
      <c r="B133" s="138" t="s">
        <v>219</v>
      </c>
      <c r="C133" s="150" t="s">
        <v>10</v>
      </c>
      <c r="D133" s="150">
        <v>9841</v>
      </c>
      <c r="E133" s="151" t="s">
        <v>143</v>
      </c>
      <c r="F133" s="150" t="s">
        <v>134</v>
      </c>
      <c r="G133" s="152">
        <f>60.12+233.01</f>
        <v>293.13</v>
      </c>
      <c r="H133" s="152">
        <f>60.12+233.01</f>
        <v>293.13</v>
      </c>
    </row>
    <row r="134" spans="2:8" ht="15.75">
      <c r="B134" s="138" t="s">
        <v>220</v>
      </c>
      <c r="C134" s="150" t="s">
        <v>10</v>
      </c>
      <c r="D134" s="150">
        <v>20067</v>
      </c>
      <c r="E134" s="151" t="s">
        <v>144</v>
      </c>
      <c r="F134" s="150" t="s">
        <v>134</v>
      </c>
      <c r="G134" s="152">
        <v>59.37</v>
      </c>
      <c r="H134" s="152">
        <v>59.37</v>
      </c>
    </row>
    <row r="135" spans="2:8" ht="15.75">
      <c r="B135" s="138" t="s">
        <v>221</v>
      </c>
      <c r="C135" s="150" t="s">
        <v>10</v>
      </c>
      <c r="D135" s="150">
        <v>9839</v>
      </c>
      <c r="E135" s="151" t="s">
        <v>145</v>
      </c>
      <c r="F135" s="150" t="s">
        <v>134</v>
      </c>
      <c r="G135" s="152">
        <v>8.7100000000000009</v>
      </c>
      <c r="H135" s="152">
        <v>8.7100000000000009</v>
      </c>
    </row>
    <row r="136" spans="2:8" ht="15.75">
      <c r="B136" s="138" t="s">
        <v>222</v>
      </c>
      <c r="C136" s="150" t="s">
        <v>10</v>
      </c>
      <c r="D136" s="150">
        <v>20068</v>
      </c>
      <c r="E136" s="151" t="s">
        <v>146</v>
      </c>
      <c r="F136" s="150" t="s">
        <v>134</v>
      </c>
      <c r="G136" s="152">
        <f>59.49+11.77</f>
        <v>71.260000000000005</v>
      </c>
      <c r="H136" s="152">
        <f>59.49+11.77</f>
        <v>71.260000000000005</v>
      </c>
    </row>
    <row r="137" spans="2:8" ht="15.75">
      <c r="B137" s="138" t="s">
        <v>223</v>
      </c>
      <c r="C137" s="150" t="s">
        <v>10</v>
      </c>
      <c r="D137" s="150">
        <v>6010</v>
      </c>
      <c r="E137" s="151" t="s">
        <v>147</v>
      </c>
      <c r="F137" s="150" t="s">
        <v>136</v>
      </c>
      <c r="G137" s="152">
        <v>36</v>
      </c>
      <c r="H137" s="152">
        <v>36</v>
      </c>
    </row>
    <row r="138" spans="2:8" ht="15.75">
      <c r="B138" s="138" t="s">
        <v>224</v>
      </c>
      <c r="C138" s="150" t="s">
        <v>10</v>
      </c>
      <c r="D138" s="150">
        <v>6024</v>
      </c>
      <c r="E138" s="151" t="s">
        <v>148</v>
      </c>
      <c r="F138" s="150" t="s">
        <v>136</v>
      </c>
      <c r="G138" s="152">
        <v>23</v>
      </c>
      <c r="H138" s="152">
        <v>23</v>
      </c>
    </row>
    <row r="139" spans="2:8" ht="15.75">
      <c r="B139" s="138" t="s">
        <v>225</v>
      </c>
      <c r="C139" s="150" t="s">
        <v>10</v>
      </c>
      <c r="D139" s="150">
        <v>6011</v>
      </c>
      <c r="E139" s="151" t="s">
        <v>149</v>
      </c>
      <c r="F139" s="150" t="s">
        <v>150</v>
      </c>
      <c r="G139" s="152">
        <v>3</v>
      </c>
      <c r="H139" s="152">
        <v>3</v>
      </c>
    </row>
    <row r="140" spans="2:8" ht="15.75">
      <c r="B140" s="138" t="s">
        <v>226</v>
      </c>
      <c r="C140" s="150" t="s">
        <v>10</v>
      </c>
      <c r="D140" s="150">
        <v>6034</v>
      </c>
      <c r="E140" s="151" t="s">
        <v>151</v>
      </c>
      <c r="F140" s="150" t="s">
        <v>136</v>
      </c>
      <c r="G140" s="152">
        <v>1</v>
      </c>
      <c r="H140" s="152">
        <v>1</v>
      </c>
    </row>
    <row r="141" spans="2:8" ht="15.75">
      <c r="B141" s="138" t="s">
        <v>227</v>
      </c>
      <c r="C141" s="150" t="s">
        <v>10</v>
      </c>
      <c r="D141" s="150">
        <v>11670</v>
      </c>
      <c r="E141" s="151" t="s">
        <v>152</v>
      </c>
      <c r="F141" s="150" t="s">
        <v>136</v>
      </c>
      <c r="G141" s="152">
        <v>4</v>
      </c>
      <c r="H141" s="152">
        <v>4</v>
      </c>
    </row>
    <row r="142" spans="2:8" ht="31.5">
      <c r="B142" s="138" t="s">
        <v>228</v>
      </c>
      <c r="C142" s="150" t="s">
        <v>10</v>
      </c>
      <c r="D142" s="150">
        <v>107</v>
      </c>
      <c r="E142" s="151" t="s">
        <v>153</v>
      </c>
      <c r="F142" s="150" t="s">
        <v>136</v>
      </c>
      <c r="G142" s="152">
        <v>8</v>
      </c>
      <c r="H142" s="152">
        <v>8</v>
      </c>
    </row>
    <row r="143" spans="2:8" ht="15.75">
      <c r="B143" s="138" t="s">
        <v>229</v>
      </c>
      <c r="C143" s="150" t="s">
        <v>10</v>
      </c>
      <c r="D143" s="150">
        <v>65</v>
      </c>
      <c r="E143" s="151" t="s">
        <v>154</v>
      </c>
      <c r="F143" s="150" t="s">
        <v>136</v>
      </c>
      <c r="G143" s="152">
        <v>95</v>
      </c>
      <c r="H143" s="152">
        <v>95</v>
      </c>
    </row>
    <row r="144" spans="2:8" ht="15.75">
      <c r="B144" s="138" t="s">
        <v>230</v>
      </c>
      <c r="C144" s="150" t="s">
        <v>10</v>
      </c>
      <c r="D144" s="150">
        <v>83</v>
      </c>
      <c r="E144" s="151" t="s">
        <v>155</v>
      </c>
      <c r="F144" s="150" t="s">
        <v>136</v>
      </c>
      <c r="G144" s="152">
        <v>3</v>
      </c>
      <c r="H144" s="152">
        <v>3</v>
      </c>
    </row>
    <row r="145" spans="2:8" ht="15.75">
      <c r="B145" s="138" t="s">
        <v>231</v>
      </c>
      <c r="C145" s="150" t="s">
        <v>10</v>
      </c>
      <c r="D145" s="150">
        <v>112</v>
      </c>
      <c r="E145" s="151" t="s">
        <v>156</v>
      </c>
      <c r="F145" s="150" t="s">
        <v>136</v>
      </c>
      <c r="G145" s="152">
        <v>56</v>
      </c>
      <c r="H145" s="152">
        <v>56</v>
      </c>
    </row>
    <row r="146" spans="2:8" ht="31.5">
      <c r="B146" s="138" t="s">
        <v>232</v>
      </c>
      <c r="C146" s="150" t="s">
        <v>10</v>
      </c>
      <c r="D146" s="150">
        <v>87</v>
      </c>
      <c r="E146" s="151" t="s">
        <v>157</v>
      </c>
      <c r="F146" s="150" t="s">
        <v>136</v>
      </c>
      <c r="G146" s="152">
        <v>3</v>
      </c>
      <c r="H146" s="152">
        <v>3</v>
      </c>
    </row>
    <row r="147" spans="2:8" ht="15.75">
      <c r="B147" s="138" t="s">
        <v>233</v>
      </c>
      <c r="C147" s="150" t="s">
        <v>10</v>
      </c>
      <c r="D147" s="150">
        <v>10228</v>
      </c>
      <c r="E147" s="151" t="s">
        <v>158</v>
      </c>
      <c r="F147" s="150" t="s">
        <v>136</v>
      </c>
      <c r="G147" s="152">
        <v>22</v>
      </c>
      <c r="H147" s="152">
        <v>22</v>
      </c>
    </row>
    <row r="148" spans="2:8" ht="15.75">
      <c r="B148" s="138" t="s">
        <v>234</v>
      </c>
      <c r="C148" s="153" t="s">
        <v>10</v>
      </c>
      <c r="D148" s="150">
        <v>38643</v>
      </c>
      <c r="E148" s="151" t="s">
        <v>159</v>
      </c>
      <c r="F148" s="150" t="s">
        <v>136</v>
      </c>
      <c r="G148" s="152">
        <v>43</v>
      </c>
      <c r="H148" s="152">
        <v>43</v>
      </c>
    </row>
    <row r="149" spans="2:8" ht="15.75">
      <c r="B149" s="138" t="s">
        <v>235</v>
      </c>
      <c r="C149" s="150" t="s">
        <v>10</v>
      </c>
      <c r="D149" s="150">
        <v>6140</v>
      </c>
      <c r="E149" s="151" t="s">
        <v>160</v>
      </c>
      <c r="F149" s="150" t="s">
        <v>136</v>
      </c>
      <c r="G149" s="152">
        <v>22</v>
      </c>
      <c r="H149" s="152">
        <v>22</v>
      </c>
    </row>
    <row r="150" spans="2:8" ht="15.75">
      <c r="B150" s="138" t="s">
        <v>236</v>
      </c>
      <c r="C150" s="150" t="s">
        <v>10</v>
      </c>
      <c r="D150" s="150">
        <v>11743</v>
      </c>
      <c r="E150" s="151" t="s">
        <v>161</v>
      </c>
      <c r="F150" s="150" t="s">
        <v>136</v>
      </c>
      <c r="G150" s="152">
        <v>5</v>
      </c>
      <c r="H150" s="152">
        <v>5</v>
      </c>
    </row>
    <row r="151" spans="2:8" ht="15.75">
      <c r="B151" s="138" t="s">
        <v>237</v>
      </c>
      <c r="C151" s="150" t="s">
        <v>10</v>
      </c>
      <c r="D151" s="150">
        <v>1427</v>
      </c>
      <c r="E151" s="151" t="s">
        <v>162</v>
      </c>
      <c r="F151" s="150" t="s">
        <v>136</v>
      </c>
      <c r="G151" s="152">
        <v>1</v>
      </c>
      <c r="H151" s="152">
        <v>1</v>
      </c>
    </row>
    <row r="152" spans="2:8" ht="15.75">
      <c r="B152" s="138" t="s">
        <v>238</v>
      </c>
      <c r="C152" s="150" t="s">
        <v>10</v>
      </c>
      <c r="D152" s="150">
        <v>6140</v>
      </c>
      <c r="E152" s="151" t="s">
        <v>163</v>
      </c>
      <c r="F152" s="150" t="s">
        <v>136</v>
      </c>
      <c r="G152" s="152">
        <v>34</v>
      </c>
      <c r="H152" s="152">
        <v>34</v>
      </c>
    </row>
    <row r="153" spans="2:8" ht="31.5">
      <c r="B153" s="138" t="s">
        <v>239</v>
      </c>
      <c r="C153" s="150" t="s">
        <v>10</v>
      </c>
      <c r="D153" s="150">
        <v>10420</v>
      </c>
      <c r="E153" s="151" t="s">
        <v>164</v>
      </c>
      <c r="F153" s="150" t="s">
        <v>136</v>
      </c>
      <c r="G153" s="152">
        <v>22</v>
      </c>
      <c r="H153" s="152">
        <v>22</v>
      </c>
    </row>
    <row r="154" spans="2:8" ht="15.75">
      <c r="B154" s="138" t="s">
        <v>240</v>
      </c>
      <c r="C154" s="150" t="s">
        <v>10</v>
      </c>
      <c r="D154" s="150">
        <v>11717</v>
      </c>
      <c r="E154" s="151" t="s">
        <v>165</v>
      </c>
      <c r="F154" s="150" t="s">
        <v>136</v>
      </c>
      <c r="G154" s="152">
        <v>33</v>
      </c>
      <c r="H154" s="152">
        <v>33</v>
      </c>
    </row>
    <row r="155" spans="2:8" ht="15.75">
      <c r="B155" s="138" t="s">
        <v>241</v>
      </c>
      <c r="C155" s="150" t="s">
        <v>289</v>
      </c>
      <c r="D155" s="150" t="s">
        <v>594</v>
      </c>
      <c r="E155" s="154" t="s">
        <v>166</v>
      </c>
      <c r="F155" s="150" t="s">
        <v>136</v>
      </c>
      <c r="G155" s="152">
        <v>4</v>
      </c>
      <c r="H155" s="152">
        <v>4</v>
      </c>
    </row>
    <row r="156" spans="2:8" ht="15.75">
      <c r="B156" s="138" t="s">
        <v>242</v>
      </c>
      <c r="C156" s="153" t="s">
        <v>10</v>
      </c>
      <c r="D156" s="150">
        <v>11881</v>
      </c>
      <c r="E156" s="151" t="s">
        <v>167</v>
      </c>
      <c r="F156" s="150" t="s">
        <v>136</v>
      </c>
      <c r="G156" s="152">
        <v>4</v>
      </c>
      <c r="H156" s="152">
        <v>4</v>
      </c>
    </row>
    <row r="157" spans="2:8" ht="31.5">
      <c r="B157" s="138" t="s">
        <v>243</v>
      </c>
      <c r="C157" s="153" t="s">
        <v>289</v>
      </c>
      <c r="D157" s="150" t="s">
        <v>595</v>
      </c>
      <c r="E157" s="151" t="s">
        <v>596</v>
      </c>
      <c r="F157" s="150" t="s">
        <v>136</v>
      </c>
      <c r="G157" s="152">
        <v>20</v>
      </c>
      <c r="H157" s="152">
        <v>20</v>
      </c>
    </row>
    <row r="158" spans="2:8" ht="15.75">
      <c r="B158" s="138" t="s">
        <v>244</v>
      </c>
      <c r="C158" s="150" t="s">
        <v>10</v>
      </c>
      <c r="D158" s="150">
        <v>6149</v>
      </c>
      <c r="E158" s="151" t="s">
        <v>168</v>
      </c>
      <c r="F158" s="150" t="s">
        <v>136</v>
      </c>
      <c r="G158" s="152">
        <v>42</v>
      </c>
      <c r="H158" s="152">
        <v>42</v>
      </c>
    </row>
    <row r="159" spans="2:8" ht="15.75">
      <c r="B159" s="138" t="s">
        <v>245</v>
      </c>
      <c r="C159" s="150" t="s">
        <v>10</v>
      </c>
      <c r="D159" s="150">
        <v>89406</v>
      </c>
      <c r="E159" s="151" t="s">
        <v>169</v>
      </c>
      <c r="F159" s="150" t="s">
        <v>136</v>
      </c>
      <c r="G159" s="152">
        <v>11</v>
      </c>
      <c r="H159" s="152">
        <v>11</v>
      </c>
    </row>
    <row r="160" spans="2:8" ht="15.75">
      <c r="B160" s="138" t="s">
        <v>246</v>
      </c>
      <c r="C160" s="150" t="s">
        <v>10</v>
      </c>
      <c r="D160" s="150">
        <v>1956</v>
      </c>
      <c r="E160" s="151" t="s">
        <v>170</v>
      </c>
      <c r="F160" s="150" t="s">
        <v>136</v>
      </c>
      <c r="G160" s="152">
        <f>96+41</f>
        <v>137</v>
      </c>
      <c r="H160" s="152">
        <f>96+41</f>
        <v>137</v>
      </c>
    </row>
    <row r="161" spans="2:8" ht="15.75">
      <c r="B161" s="138" t="s">
        <v>247</v>
      </c>
      <c r="C161" s="150" t="s">
        <v>10</v>
      </c>
      <c r="D161" s="150">
        <v>1959</v>
      </c>
      <c r="E161" s="151" t="s">
        <v>171</v>
      </c>
      <c r="F161" s="150" t="s">
        <v>136</v>
      </c>
      <c r="G161" s="152">
        <f>27+28</f>
        <v>55</v>
      </c>
      <c r="H161" s="152">
        <f>27+28</f>
        <v>55</v>
      </c>
    </row>
    <row r="162" spans="2:8" ht="15.75">
      <c r="B162" s="138" t="s">
        <v>248</v>
      </c>
      <c r="C162" s="150" t="s">
        <v>10</v>
      </c>
      <c r="D162" s="150">
        <v>1960</v>
      </c>
      <c r="E162" s="151" t="s">
        <v>172</v>
      </c>
      <c r="F162" s="150" t="s">
        <v>150</v>
      </c>
      <c r="G162" s="152">
        <v>7</v>
      </c>
      <c r="H162" s="152">
        <v>7</v>
      </c>
    </row>
    <row r="163" spans="2:8" ht="15.75">
      <c r="B163" s="138" t="s">
        <v>249</v>
      </c>
      <c r="C163" s="150" t="s">
        <v>10</v>
      </c>
      <c r="D163" s="150">
        <v>1925</v>
      </c>
      <c r="E163" s="151" t="s">
        <v>173</v>
      </c>
      <c r="F163" s="150" t="s">
        <v>136</v>
      </c>
      <c r="G163" s="152">
        <v>11</v>
      </c>
      <c r="H163" s="152">
        <v>11</v>
      </c>
    </row>
    <row r="164" spans="2:8" ht="15.75">
      <c r="B164" s="138" t="s">
        <v>250</v>
      </c>
      <c r="C164" s="150" t="s">
        <v>10</v>
      </c>
      <c r="D164" s="150">
        <v>1970</v>
      </c>
      <c r="E164" s="151" t="s">
        <v>522</v>
      </c>
      <c r="F164" s="150" t="s">
        <v>136</v>
      </c>
      <c r="G164" s="152">
        <v>21</v>
      </c>
      <c r="H164" s="152">
        <v>21</v>
      </c>
    </row>
    <row r="165" spans="2:8" ht="15.75">
      <c r="B165" s="138" t="s">
        <v>251</v>
      </c>
      <c r="C165" s="150" t="s">
        <v>10</v>
      </c>
      <c r="D165" s="150">
        <v>1965</v>
      </c>
      <c r="E165" s="151" t="s">
        <v>174</v>
      </c>
      <c r="F165" s="150" t="s">
        <v>136</v>
      </c>
      <c r="G165" s="152">
        <v>24</v>
      </c>
      <c r="H165" s="152">
        <v>24</v>
      </c>
    </row>
    <row r="166" spans="2:8" ht="31.5">
      <c r="B166" s="138" t="s">
        <v>252</v>
      </c>
      <c r="C166" s="150" t="s">
        <v>10</v>
      </c>
      <c r="D166" s="150">
        <v>1368</v>
      </c>
      <c r="E166" s="151" t="s">
        <v>577</v>
      </c>
      <c r="F166" s="150" t="s">
        <v>136</v>
      </c>
      <c r="G166" s="152">
        <v>22</v>
      </c>
      <c r="H166" s="152">
        <v>22</v>
      </c>
    </row>
    <row r="167" spans="2:8" ht="31.5">
      <c r="B167" s="138" t="s">
        <v>253</v>
      </c>
      <c r="C167" s="155" t="s">
        <v>10</v>
      </c>
      <c r="D167" s="155">
        <v>1370</v>
      </c>
      <c r="E167" s="151" t="s">
        <v>175</v>
      </c>
      <c r="F167" s="150" t="s">
        <v>176</v>
      </c>
      <c r="G167" s="152">
        <v>20</v>
      </c>
      <c r="H167" s="152">
        <v>20</v>
      </c>
    </row>
    <row r="168" spans="2:8" ht="15.75">
      <c r="B168" s="138" t="s">
        <v>254</v>
      </c>
      <c r="C168" s="150" t="s">
        <v>10</v>
      </c>
      <c r="D168" s="150">
        <v>10765</v>
      </c>
      <c r="E168" s="151" t="s">
        <v>177</v>
      </c>
      <c r="F168" s="150" t="s">
        <v>136</v>
      </c>
      <c r="G168" s="152">
        <v>22</v>
      </c>
      <c r="H168" s="152">
        <v>22</v>
      </c>
    </row>
    <row r="169" spans="2:8" ht="15.75">
      <c r="B169" s="138" t="s">
        <v>255</v>
      </c>
      <c r="C169" s="150" t="s">
        <v>10</v>
      </c>
      <c r="D169" s="150">
        <v>1966</v>
      </c>
      <c r="E169" s="151" t="s">
        <v>178</v>
      </c>
      <c r="F169" s="150" t="s">
        <v>136</v>
      </c>
      <c r="G169" s="152">
        <v>22</v>
      </c>
      <c r="H169" s="152">
        <v>22</v>
      </c>
    </row>
    <row r="170" spans="2:8" ht="15.75">
      <c r="B170" s="138" t="s">
        <v>256</v>
      </c>
      <c r="C170" s="150" t="s">
        <v>10</v>
      </c>
      <c r="D170" s="150">
        <v>89728</v>
      </c>
      <c r="E170" s="151" t="s">
        <v>179</v>
      </c>
      <c r="F170" s="150" t="s">
        <v>136</v>
      </c>
      <c r="G170" s="152">
        <v>45</v>
      </c>
      <c r="H170" s="152">
        <v>45</v>
      </c>
    </row>
    <row r="171" spans="2:8" ht="15.75">
      <c r="B171" s="138" t="s">
        <v>257</v>
      </c>
      <c r="C171" s="150" t="s">
        <v>10</v>
      </c>
      <c r="D171" s="150">
        <v>89358</v>
      </c>
      <c r="E171" s="151" t="s">
        <v>180</v>
      </c>
      <c r="F171" s="150" t="s">
        <v>136</v>
      </c>
      <c r="G171" s="152">
        <v>1</v>
      </c>
      <c r="H171" s="152">
        <v>1</v>
      </c>
    </row>
    <row r="172" spans="2:8" ht="15.75">
      <c r="B172" s="138" t="s">
        <v>258</v>
      </c>
      <c r="C172" s="150" t="s">
        <v>10</v>
      </c>
      <c r="D172" s="150">
        <v>20147</v>
      </c>
      <c r="E172" s="151" t="s">
        <v>181</v>
      </c>
      <c r="F172" s="150" t="s">
        <v>136</v>
      </c>
      <c r="G172" s="152">
        <v>44</v>
      </c>
      <c r="H172" s="152">
        <v>44</v>
      </c>
    </row>
    <row r="173" spans="2:8" ht="15.75">
      <c r="B173" s="138" t="s">
        <v>259</v>
      </c>
      <c r="C173" s="150" t="s">
        <v>10</v>
      </c>
      <c r="D173" s="150">
        <v>3489</v>
      </c>
      <c r="E173" s="151" t="s">
        <v>182</v>
      </c>
      <c r="F173" s="150" t="s">
        <v>136</v>
      </c>
      <c r="G173" s="152">
        <v>29</v>
      </c>
      <c r="H173" s="152">
        <v>29</v>
      </c>
    </row>
    <row r="174" spans="2:8" ht="15.75">
      <c r="B174" s="138" t="s">
        <v>260</v>
      </c>
      <c r="C174" s="150" t="s">
        <v>10</v>
      </c>
      <c r="D174" s="150">
        <v>3481</v>
      </c>
      <c r="E174" s="151" t="s">
        <v>183</v>
      </c>
      <c r="F174" s="150" t="s">
        <v>136</v>
      </c>
      <c r="G174" s="152">
        <v>4</v>
      </c>
      <c r="H174" s="152">
        <v>4</v>
      </c>
    </row>
    <row r="175" spans="2:8" ht="15.75">
      <c r="B175" s="138" t="s">
        <v>261</v>
      </c>
      <c r="C175" s="150" t="s">
        <v>10</v>
      </c>
      <c r="D175" s="150">
        <v>3521</v>
      </c>
      <c r="E175" s="151" t="s">
        <v>184</v>
      </c>
      <c r="F175" s="150" t="s">
        <v>136</v>
      </c>
      <c r="G175" s="152">
        <v>4</v>
      </c>
      <c r="H175" s="152">
        <v>4</v>
      </c>
    </row>
    <row r="176" spans="2:8" ht="15.75">
      <c r="B176" s="138" t="s">
        <v>262</v>
      </c>
      <c r="C176" s="150" t="s">
        <v>10</v>
      </c>
      <c r="D176" s="150">
        <v>38436</v>
      </c>
      <c r="E176" s="151" t="s">
        <v>185</v>
      </c>
      <c r="F176" s="150" t="s">
        <v>136</v>
      </c>
      <c r="G176" s="152">
        <v>28</v>
      </c>
      <c r="H176" s="152">
        <v>28</v>
      </c>
    </row>
    <row r="177" spans="2:8" ht="31.5">
      <c r="B177" s="138" t="s">
        <v>263</v>
      </c>
      <c r="C177" s="150" t="s">
        <v>10</v>
      </c>
      <c r="D177" s="150">
        <v>3481</v>
      </c>
      <c r="E177" s="151" t="s">
        <v>186</v>
      </c>
      <c r="F177" s="150" t="s">
        <v>136</v>
      </c>
      <c r="G177" s="152">
        <v>40</v>
      </c>
      <c r="H177" s="152">
        <v>40</v>
      </c>
    </row>
    <row r="178" spans="2:8" ht="15.75">
      <c r="B178" s="138" t="s">
        <v>264</v>
      </c>
      <c r="C178" s="150" t="s">
        <v>10</v>
      </c>
      <c r="D178" s="150">
        <v>7138</v>
      </c>
      <c r="E178" s="151" t="s">
        <v>187</v>
      </c>
      <c r="F178" s="150" t="s">
        <v>136</v>
      </c>
      <c r="G178" s="152">
        <v>2</v>
      </c>
      <c r="H178" s="152">
        <v>2</v>
      </c>
    </row>
    <row r="179" spans="2:8" ht="15.75">
      <c r="B179" s="138" t="s">
        <v>265</v>
      </c>
      <c r="C179" s="150" t="s">
        <v>10</v>
      </c>
      <c r="D179" s="150">
        <v>7139</v>
      </c>
      <c r="E179" s="151" t="s">
        <v>188</v>
      </c>
      <c r="F179" s="150" t="s">
        <v>136</v>
      </c>
      <c r="G179" s="152">
        <v>3</v>
      </c>
      <c r="H179" s="152">
        <v>3</v>
      </c>
    </row>
    <row r="180" spans="2:8" ht="15.75">
      <c r="B180" s="138" t="s">
        <v>266</v>
      </c>
      <c r="C180" s="150" t="s">
        <v>10</v>
      </c>
      <c r="D180" s="150">
        <v>7142</v>
      </c>
      <c r="E180" s="151" t="s">
        <v>189</v>
      </c>
      <c r="F180" s="150" t="s">
        <v>136</v>
      </c>
      <c r="G180" s="152">
        <v>3</v>
      </c>
      <c r="H180" s="152">
        <v>3</v>
      </c>
    </row>
    <row r="181" spans="2:8" ht="15.75">
      <c r="B181" s="138" t="s">
        <v>267</v>
      </c>
      <c r="C181" s="150" t="s">
        <v>10</v>
      </c>
      <c r="D181" s="150">
        <v>7143</v>
      </c>
      <c r="E181" s="151" t="s">
        <v>190</v>
      </c>
      <c r="F181" s="150" t="s">
        <v>136</v>
      </c>
      <c r="G181" s="152">
        <v>26</v>
      </c>
      <c r="H181" s="152">
        <v>26</v>
      </c>
    </row>
    <row r="182" spans="2:8" ht="15.75">
      <c r="B182" s="138" t="s">
        <v>268</v>
      </c>
      <c r="C182" s="150" t="s">
        <v>10</v>
      </c>
      <c r="D182" s="150">
        <v>7144</v>
      </c>
      <c r="E182" s="151" t="s">
        <v>191</v>
      </c>
      <c r="F182" s="150" t="s">
        <v>136</v>
      </c>
      <c r="G182" s="152">
        <v>3</v>
      </c>
      <c r="H182" s="152">
        <v>3</v>
      </c>
    </row>
    <row r="183" spans="2:8" ht="15.75">
      <c r="B183" s="138" t="s">
        <v>269</v>
      </c>
      <c r="C183" s="150" t="s">
        <v>10</v>
      </c>
      <c r="D183" s="150">
        <v>7122</v>
      </c>
      <c r="E183" s="151" t="s">
        <v>192</v>
      </c>
      <c r="F183" s="150" t="s">
        <v>136</v>
      </c>
      <c r="G183" s="152">
        <v>5</v>
      </c>
      <c r="H183" s="152">
        <v>5</v>
      </c>
    </row>
    <row r="184" spans="2:8" ht="15.75">
      <c r="B184" s="138" t="s">
        <v>270</v>
      </c>
      <c r="C184" s="150" t="s">
        <v>10</v>
      </c>
      <c r="D184" s="150">
        <v>7137</v>
      </c>
      <c r="E184" s="151" t="s">
        <v>193</v>
      </c>
      <c r="F184" s="150" t="s">
        <v>136</v>
      </c>
      <c r="G184" s="152">
        <v>10</v>
      </c>
      <c r="H184" s="152">
        <v>10</v>
      </c>
    </row>
    <row r="185" spans="2:8" ht="15.75">
      <c r="B185" s="138" t="s">
        <v>271</v>
      </c>
      <c r="C185" s="150" t="s">
        <v>10</v>
      </c>
      <c r="D185" s="150">
        <v>7129</v>
      </c>
      <c r="E185" s="151" t="s">
        <v>194</v>
      </c>
      <c r="F185" s="150" t="s">
        <v>136</v>
      </c>
      <c r="G185" s="152">
        <v>31</v>
      </c>
      <c r="H185" s="152">
        <v>31</v>
      </c>
    </row>
    <row r="186" spans="2:8" ht="15.75">
      <c r="B186" s="138" t="s">
        <v>272</v>
      </c>
      <c r="C186" s="150" t="s">
        <v>10</v>
      </c>
      <c r="D186" s="150">
        <v>7132</v>
      </c>
      <c r="E186" s="151" t="s">
        <v>195</v>
      </c>
      <c r="F186" s="150" t="s">
        <v>136</v>
      </c>
      <c r="G186" s="152">
        <v>5</v>
      </c>
      <c r="H186" s="152">
        <v>5</v>
      </c>
    </row>
    <row r="187" spans="2:8" ht="15.75">
      <c r="B187" s="138" t="s">
        <v>273</v>
      </c>
      <c r="C187" s="150" t="s">
        <v>10</v>
      </c>
      <c r="D187" s="150">
        <v>7097</v>
      </c>
      <c r="E187" s="151" t="s">
        <v>196</v>
      </c>
      <c r="F187" s="150" t="s">
        <v>136</v>
      </c>
      <c r="G187" s="152">
        <v>18</v>
      </c>
      <c r="H187" s="152">
        <v>18</v>
      </c>
    </row>
    <row r="188" spans="2:8" ht="15.75">
      <c r="B188" s="138" t="s">
        <v>274</v>
      </c>
      <c r="C188" s="150" t="s">
        <v>10</v>
      </c>
      <c r="D188" s="150">
        <v>813</v>
      </c>
      <c r="E188" s="151" t="s">
        <v>197</v>
      </c>
      <c r="F188" s="150" t="s">
        <v>136</v>
      </c>
      <c r="G188" s="152">
        <v>23</v>
      </c>
      <c r="H188" s="152">
        <v>23</v>
      </c>
    </row>
    <row r="189" spans="2:8" ht="15.75">
      <c r="B189" s="138" t="s">
        <v>275</v>
      </c>
      <c r="C189" s="150" t="s">
        <v>10</v>
      </c>
      <c r="D189" s="150">
        <v>822</v>
      </c>
      <c r="E189" s="151" t="s">
        <v>198</v>
      </c>
      <c r="F189" s="150" t="s">
        <v>136</v>
      </c>
      <c r="G189" s="152">
        <v>22</v>
      </c>
      <c r="H189" s="152">
        <v>22</v>
      </c>
    </row>
    <row r="190" spans="2:8" ht="15.75">
      <c r="B190" s="138" t="s">
        <v>276</v>
      </c>
      <c r="C190" s="150" t="s">
        <v>10</v>
      </c>
      <c r="D190" s="150">
        <v>818</v>
      </c>
      <c r="E190" s="151" t="s">
        <v>199</v>
      </c>
      <c r="F190" s="150" t="s">
        <v>136</v>
      </c>
      <c r="G190" s="152">
        <v>15</v>
      </c>
      <c r="H190" s="152">
        <v>15</v>
      </c>
    </row>
    <row r="191" spans="2:8" ht="15.75">
      <c r="B191" s="138" t="s">
        <v>277</v>
      </c>
      <c r="C191" s="150" t="s">
        <v>10</v>
      </c>
      <c r="D191" s="150">
        <v>823</v>
      </c>
      <c r="E191" s="151" t="s">
        <v>200</v>
      </c>
      <c r="F191" s="150" t="s">
        <v>136</v>
      </c>
      <c r="G191" s="152">
        <v>6</v>
      </c>
      <c r="H191" s="152">
        <v>6</v>
      </c>
    </row>
    <row r="192" spans="2:8" ht="15.75">
      <c r="B192" s="138" t="s">
        <v>278</v>
      </c>
      <c r="C192" s="150" t="s">
        <v>10</v>
      </c>
      <c r="D192" s="150">
        <v>3659</v>
      </c>
      <c r="E192" s="151" t="s">
        <v>201</v>
      </c>
      <c r="F192" s="150" t="s">
        <v>136</v>
      </c>
      <c r="G192" s="152">
        <v>29</v>
      </c>
      <c r="H192" s="152">
        <v>29</v>
      </c>
    </row>
    <row r="193" spans="2:8" ht="15.75">
      <c r="B193" s="138" t="s">
        <v>279</v>
      </c>
      <c r="C193" s="150" t="s">
        <v>10</v>
      </c>
      <c r="D193" s="150">
        <v>20144</v>
      </c>
      <c r="E193" s="151" t="s">
        <v>202</v>
      </c>
      <c r="F193" s="150" t="s">
        <v>136</v>
      </c>
      <c r="G193" s="152">
        <v>14</v>
      </c>
      <c r="H193" s="152">
        <v>14</v>
      </c>
    </row>
    <row r="194" spans="2:8" ht="15.75">
      <c r="B194" s="138" t="s">
        <v>280</v>
      </c>
      <c r="C194" s="150" t="s">
        <v>10</v>
      </c>
      <c r="D194" s="150">
        <v>3662</v>
      </c>
      <c r="E194" s="151" t="s">
        <v>203</v>
      </c>
      <c r="F194" s="150" t="s">
        <v>136</v>
      </c>
      <c r="G194" s="152">
        <v>2</v>
      </c>
      <c r="H194" s="152">
        <v>2</v>
      </c>
    </row>
    <row r="195" spans="2:8" ht="15.75">
      <c r="B195" s="138" t="s">
        <v>281</v>
      </c>
      <c r="C195" s="150" t="s">
        <v>10</v>
      </c>
      <c r="D195" s="150">
        <v>3661</v>
      </c>
      <c r="E195" s="151" t="s">
        <v>204</v>
      </c>
      <c r="F195" s="150" t="s">
        <v>136</v>
      </c>
      <c r="G195" s="152">
        <v>2</v>
      </c>
      <c r="H195" s="152">
        <v>2</v>
      </c>
    </row>
    <row r="196" spans="2:8" ht="15.75">
      <c r="B196" s="138" t="s">
        <v>282</v>
      </c>
      <c r="C196" s="150" t="s">
        <v>10</v>
      </c>
      <c r="D196" s="150">
        <v>3658</v>
      </c>
      <c r="E196" s="151" t="s">
        <v>205</v>
      </c>
      <c r="F196" s="150" t="s">
        <v>136</v>
      </c>
      <c r="G196" s="152">
        <v>1</v>
      </c>
      <c r="H196" s="152">
        <v>1</v>
      </c>
    </row>
    <row r="197" spans="2:8" ht="15.75">
      <c r="B197" s="138" t="s">
        <v>283</v>
      </c>
      <c r="C197" s="150" t="s">
        <v>10</v>
      </c>
      <c r="D197" s="150">
        <v>3497</v>
      </c>
      <c r="E197" s="151" t="s">
        <v>206</v>
      </c>
      <c r="F197" s="150" t="s">
        <v>136</v>
      </c>
      <c r="G197" s="152">
        <v>2</v>
      </c>
      <c r="H197" s="152">
        <v>2</v>
      </c>
    </row>
    <row r="198" spans="2:8" ht="15.75">
      <c r="B198" s="138" t="s">
        <v>284</v>
      </c>
      <c r="C198" s="150" t="s">
        <v>10</v>
      </c>
      <c r="D198" s="150">
        <v>3906</v>
      </c>
      <c r="E198" s="151" t="s">
        <v>207</v>
      </c>
      <c r="F198" s="150" t="s">
        <v>136</v>
      </c>
      <c r="G198" s="152">
        <v>23</v>
      </c>
      <c r="H198" s="152">
        <v>23</v>
      </c>
    </row>
    <row r="199" spans="2:8" ht="15.75">
      <c r="B199" s="138" t="s">
        <v>285</v>
      </c>
      <c r="C199" s="150" t="s">
        <v>10</v>
      </c>
      <c r="D199" s="150">
        <v>11772</v>
      </c>
      <c r="E199" s="151" t="s">
        <v>208</v>
      </c>
      <c r="F199" s="150" t="s">
        <v>136</v>
      </c>
      <c r="G199" s="152">
        <v>4</v>
      </c>
      <c r="H199" s="152">
        <v>4</v>
      </c>
    </row>
    <row r="200" spans="2:8" ht="15.75">
      <c r="B200" s="138" t="s">
        <v>286</v>
      </c>
      <c r="C200" s="150" t="s">
        <v>10</v>
      </c>
      <c r="D200" s="150">
        <v>11762</v>
      </c>
      <c r="E200" s="151" t="s">
        <v>209</v>
      </c>
      <c r="F200" s="150" t="s">
        <v>136</v>
      </c>
      <c r="G200" s="152">
        <v>9</v>
      </c>
      <c r="H200" s="152">
        <v>9</v>
      </c>
    </row>
    <row r="201" spans="2:8" ht="15.75">
      <c r="B201" s="138" t="s">
        <v>287</v>
      </c>
      <c r="C201" s="150" t="s">
        <v>10</v>
      </c>
      <c r="D201" s="150">
        <v>13984</v>
      </c>
      <c r="E201" s="151" t="s">
        <v>210</v>
      </c>
      <c r="F201" s="150" t="s">
        <v>136</v>
      </c>
      <c r="G201" s="152">
        <v>34</v>
      </c>
      <c r="H201" s="152">
        <v>34</v>
      </c>
    </row>
    <row r="202" spans="2:8" ht="63">
      <c r="B202" s="138" t="s">
        <v>584</v>
      </c>
      <c r="C202" s="150" t="s">
        <v>289</v>
      </c>
      <c r="D202" s="185" t="s">
        <v>586</v>
      </c>
      <c r="E202" s="151" t="s">
        <v>585</v>
      </c>
      <c r="F202" s="150" t="s">
        <v>136</v>
      </c>
      <c r="G202" s="152">
        <v>4</v>
      </c>
      <c r="H202" s="152">
        <v>4</v>
      </c>
    </row>
    <row r="203" spans="2:8" ht="15.75">
      <c r="B203" s="129">
        <v>2</v>
      </c>
      <c r="C203" s="190"/>
      <c r="D203" s="190"/>
      <c r="E203" s="130" t="s">
        <v>288</v>
      </c>
      <c r="F203" s="190"/>
      <c r="G203" s="190"/>
      <c r="H203" s="190"/>
    </row>
    <row r="204" spans="2:8" ht="15.75">
      <c r="B204" s="138" t="s">
        <v>62</v>
      </c>
      <c r="C204" s="150" t="s">
        <v>289</v>
      </c>
      <c r="D204" s="156" t="s">
        <v>524</v>
      </c>
      <c r="E204" s="151" t="s">
        <v>306</v>
      </c>
      <c r="F204" s="150" t="s">
        <v>136</v>
      </c>
      <c r="G204" s="152">
        <v>10</v>
      </c>
      <c r="H204" s="152">
        <v>10</v>
      </c>
    </row>
    <row r="205" spans="2:8" ht="15.75">
      <c r="B205" s="138" t="s">
        <v>69</v>
      </c>
      <c r="C205" s="150" t="s">
        <v>289</v>
      </c>
      <c r="D205" s="156" t="s">
        <v>298</v>
      </c>
      <c r="E205" s="151" t="s">
        <v>307</v>
      </c>
      <c r="F205" s="150" t="s">
        <v>136</v>
      </c>
      <c r="G205" s="152">
        <v>6</v>
      </c>
      <c r="H205" s="152">
        <v>6</v>
      </c>
    </row>
    <row r="206" spans="2:8" ht="15.75">
      <c r="B206" s="138" t="s">
        <v>71</v>
      </c>
      <c r="C206" s="150" t="s">
        <v>289</v>
      </c>
      <c r="D206" s="156" t="s">
        <v>299</v>
      </c>
      <c r="E206" s="151" t="s">
        <v>308</v>
      </c>
      <c r="F206" s="150" t="s">
        <v>136</v>
      </c>
      <c r="G206" s="152">
        <v>12</v>
      </c>
      <c r="H206" s="152">
        <v>12</v>
      </c>
    </row>
    <row r="207" spans="2:8" ht="15.75">
      <c r="B207" s="138" t="s">
        <v>76</v>
      </c>
      <c r="C207" s="150" t="s">
        <v>10</v>
      </c>
      <c r="D207" s="156" t="s">
        <v>300</v>
      </c>
      <c r="E207" s="151" t="s">
        <v>309</v>
      </c>
      <c r="F207" s="150" t="s">
        <v>136</v>
      </c>
      <c r="G207" s="152">
        <v>33</v>
      </c>
      <c r="H207" s="152">
        <v>33</v>
      </c>
    </row>
    <row r="208" spans="2:8" ht="15.75">
      <c r="B208" s="138" t="s">
        <v>291</v>
      </c>
      <c r="C208" s="150" t="s">
        <v>289</v>
      </c>
      <c r="D208" s="156" t="s">
        <v>599</v>
      </c>
      <c r="E208" s="151" t="s">
        <v>600</v>
      </c>
      <c r="F208" s="150" t="s">
        <v>136</v>
      </c>
      <c r="G208" s="152">
        <v>7</v>
      </c>
      <c r="H208" s="152">
        <v>7</v>
      </c>
    </row>
    <row r="209" spans="2:8" ht="15.75">
      <c r="B209" s="138" t="s">
        <v>292</v>
      </c>
      <c r="C209" s="150" t="s">
        <v>10</v>
      </c>
      <c r="D209" s="156" t="s">
        <v>525</v>
      </c>
      <c r="E209" s="151" t="s">
        <v>310</v>
      </c>
      <c r="F209" s="150" t="s">
        <v>136</v>
      </c>
      <c r="G209" s="152">
        <v>3</v>
      </c>
      <c r="H209" s="152">
        <v>3</v>
      </c>
    </row>
    <row r="210" spans="2:8" ht="15.75">
      <c r="B210" s="138" t="s">
        <v>293</v>
      </c>
      <c r="C210" s="150" t="s">
        <v>10</v>
      </c>
      <c r="D210" s="156" t="s">
        <v>301</v>
      </c>
      <c r="E210" s="151" t="s">
        <v>311</v>
      </c>
      <c r="F210" s="150" t="s">
        <v>136</v>
      </c>
      <c r="G210" s="152">
        <v>4</v>
      </c>
      <c r="H210" s="152">
        <v>4</v>
      </c>
    </row>
    <row r="211" spans="2:8" ht="15.75">
      <c r="B211" s="138" t="s">
        <v>294</v>
      </c>
      <c r="C211" s="150" t="s">
        <v>289</v>
      </c>
      <c r="D211" s="156" t="s">
        <v>302</v>
      </c>
      <c r="E211" s="151" t="s">
        <v>312</v>
      </c>
      <c r="F211" s="150" t="s">
        <v>136</v>
      </c>
      <c r="G211" s="152">
        <v>1</v>
      </c>
      <c r="H211" s="152">
        <v>1</v>
      </c>
    </row>
    <row r="212" spans="2:8" ht="15.75">
      <c r="B212" s="138" t="s">
        <v>295</v>
      </c>
      <c r="C212" s="150" t="s">
        <v>289</v>
      </c>
      <c r="D212" s="156" t="s">
        <v>303</v>
      </c>
      <c r="E212" s="151" t="s">
        <v>313</v>
      </c>
      <c r="F212" s="150" t="s">
        <v>136</v>
      </c>
      <c r="G212" s="152">
        <v>1</v>
      </c>
      <c r="H212" s="152">
        <v>1</v>
      </c>
    </row>
    <row r="213" spans="2:8" ht="15.75">
      <c r="B213" s="138" t="s">
        <v>296</v>
      </c>
      <c r="C213" s="157" t="s">
        <v>289</v>
      </c>
      <c r="D213" s="158" t="s">
        <v>304</v>
      </c>
      <c r="E213" s="159" t="s">
        <v>314</v>
      </c>
      <c r="F213" s="157" t="s">
        <v>136</v>
      </c>
      <c r="G213" s="152">
        <v>1</v>
      </c>
      <c r="H213" s="152">
        <v>1</v>
      </c>
    </row>
    <row r="214" spans="2:8" ht="15.75">
      <c r="B214" s="138" t="s">
        <v>297</v>
      </c>
      <c r="C214" s="157" t="s">
        <v>289</v>
      </c>
      <c r="D214" s="158" t="s">
        <v>305</v>
      </c>
      <c r="E214" s="159" t="s">
        <v>315</v>
      </c>
      <c r="F214" s="157" t="s">
        <v>136</v>
      </c>
      <c r="G214" s="152">
        <v>4</v>
      </c>
      <c r="H214" s="152">
        <v>4</v>
      </c>
    </row>
    <row r="215" spans="2:8" ht="15.75">
      <c r="B215" s="129">
        <v>3</v>
      </c>
      <c r="C215" s="190"/>
      <c r="D215" s="190"/>
      <c r="E215" s="130" t="s">
        <v>316</v>
      </c>
      <c r="F215" s="190"/>
      <c r="G215" s="190"/>
      <c r="H215" s="190"/>
    </row>
    <row r="216" spans="2:8" ht="15.75">
      <c r="B216" s="138" t="s">
        <v>21</v>
      </c>
      <c r="C216" s="150" t="s">
        <v>10</v>
      </c>
      <c r="D216" s="160">
        <v>38076</v>
      </c>
      <c r="E216" s="161" t="s">
        <v>317</v>
      </c>
      <c r="F216" s="162" t="s">
        <v>136</v>
      </c>
      <c r="G216" s="152">
        <v>8</v>
      </c>
      <c r="H216" s="152">
        <v>8</v>
      </c>
    </row>
    <row r="217" spans="2:8" ht="15.75">
      <c r="B217" s="138" t="s">
        <v>23</v>
      </c>
      <c r="C217" s="150" t="s">
        <v>10</v>
      </c>
      <c r="D217" s="160">
        <v>38075</v>
      </c>
      <c r="E217" s="161" t="s">
        <v>318</v>
      </c>
      <c r="F217" s="162" t="s">
        <v>136</v>
      </c>
      <c r="G217" s="152">
        <f>41+39+77</f>
        <v>157</v>
      </c>
      <c r="H217" s="152">
        <f>41+39+77</f>
        <v>157</v>
      </c>
    </row>
    <row r="218" spans="2:8" ht="15.75">
      <c r="B218" s="138" t="s">
        <v>24</v>
      </c>
      <c r="C218" s="150" t="s">
        <v>10</v>
      </c>
      <c r="D218" s="160">
        <v>38083</v>
      </c>
      <c r="E218" s="161" t="s">
        <v>319</v>
      </c>
      <c r="F218" s="162" t="s">
        <v>136</v>
      </c>
      <c r="G218" s="152">
        <v>7</v>
      </c>
      <c r="H218" s="152">
        <v>7</v>
      </c>
    </row>
    <row r="219" spans="2:8" ht="15.75">
      <c r="B219" s="138" t="s">
        <v>25</v>
      </c>
      <c r="C219" s="150" t="s">
        <v>10</v>
      </c>
      <c r="D219" s="160">
        <v>38097</v>
      </c>
      <c r="E219" s="161" t="s">
        <v>320</v>
      </c>
      <c r="F219" s="162" t="s">
        <v>136</v>
      </c>
      <c r="G219" s="152">
        <v>7</v>
      </c>
      <c r="H219" s="152">
        <v>7</v>
      </c>
    </row>
    <row r="220" spans="2:8" ht="15.75">
      <c r="B220" s="138" t="s">
        <v>26</v>
      </c>
      <c r="C220" s="150" t="s">
        <v>10</v>
      </c>
      <c r="D220" s="160">
        <v>38102</v>
      </c>
      <c r="E220" s="161" t="s">
        <v>321</v>
      </c>
      <c r="F220" s="162" t="s">
        <v>136</v>
      </c>
      <c r="G220" s="152">
        <v>16</v>
      </c>
      <c r="H220" s="152">
        <v>16</v>
      </c>
    </row>
    <row r="221" spans="2:8" ht="15.75">
      <c r="B221" s="138" t="s">
        <v>27</v>
      </c>
      <c r="C221" s="150" t="s">
        <v>10</v>
      </c>
      <c r="D221" s="160">
        <v>2688</v>
      </c>
      <c r="E221" s="161" t="s">
        <v>322</v>
      </c>
      <c r="F221" s="162" t="s">
        <v>134</v>
      </c>
      <c r="G221" s="152">
        <v>1597.32</v>
      </c>
      <c r="H221" s="152">
        <v>1597.32</v>
      </c>
    </row>
    <row r="222" spans="2:8" ht="15.75">
      <c r="B222" s="138" t="s">
        <v>85</v>
      </c>
      <c r="C222" s="150" t="s">
        <v>10</v>
      </c>
      <c r="D222" s="160">
        <v>38778</v>
      </c>
      <c r="E222" s="161" t="s">
        <v>323</v>
      </c>
      <c r="F222" s="162" t="s">
        <v>136</v>
      </c>
      <c r="G222" s="152">
        <f>63+2+46</f>
        <v>111</v>
      </c>
      <c r="H222" s="152">
        <f>63+2+46</f>
        <v>111</v>
      </c>
    </row>
    <row r="223" spans="2:8" ht="15.75">
      <c r="B223" s="138" t="s">
        <v>361</v>
      </c>
      <c r="C223" s="150" t="s">
        <v>10</v>
      </c>
      <c r="D223" s="160">
        <v>2556</v>
      </c>
      <c r="E223" s="161" t="s">
        <v>324</v>
      </c>
      <c r="F223" s="162" t="s">
        <v>136</v>
      </c>
      <c r="G223" s="152">
        <f>23+12</f>
        <v>35</v>
      </c>
      <c r="H223" s="152">
        <f>23+12</f>
        <v>35</v>
      </c>
    </row>
    <row r="224" spans="2:8" ht="15.75">
      <c r="B224" s="138" t="s">
        <v>362</v>
      </c>
      <c r="C224" s="150" t="s">
        <v>10</v>
      </c>
      <c r="D224" s="160">
        <v>2557</v>
      </c>
      <c r="E224" s="161" t="s">
        <v>325</v>
      </c>
      <c r="F224" s="162" t="s">
        <v>136</v>
      </c>
      <c r="G224" s="152">
        <f>80+41</f>
        <v>121</v>
      </c>
      <c r="H224" s="152">
        <f>80+41</f>
        <v>121</v>
      </c>
    </row>
    <row r="225" spans="2:8" ht="15.75">
      <c r="B225" s="138" t="s">
        <v>363</v>
      </c>
      <c r="C225" s="150" t="s">
        <v>10</v>
      </c>
      <c r="D225" s="160">
        <v>39810</v>
      </c>
      <c r="E225" s="161" t="s">
        <v>326</v>
      </c>
      <c r="F225" s="162" t="s">
        <v>136</v>
      </c>
      <c r="G225" s="152">
        <v>3</v>
      </c>
      <c r="H225" s="152">
        <v>3</v>
      </c>
    </row>
    <row r="226" spans="2:8" ht="15.75">
      <c r="B226" s="138" t="s">
        <v>364</v>
      </c>
      <c r="C226" s="150" t="s">
        <v>10</v>
      </c>
      <c r="D226" s="160">
        <v>38769</v>
      </c>
      <c r="E226" s="161" t="s">
        <v>327</v>
      </c>
      <c r="F226" s="162" t="s">
        <v>136</v>
      </c>
      <c r="G226" s="152">
        <f>3+10+9+3+8+9</f>
        <v>42</v>
      </c>
      <c r="H226" s="152">
        <f>3+10+9+3+8+9</f>
        <v>42</v>
      </c>
    </row>
    <row r="227" spans="2:8" ht="15.75">
      <c r="B227" s="138" t="s">
        <v>365</v>
      </c>
      <c r="C227" s="150" t="s">
        <v>10</v>
      </c>
      <c r="D227" s="160">
        <v>38778</v>
      </c>
      <c r="E227" s="161" t="s">
        <v>328</v>
      </c>
      <c r="F227" s="162" t="s">
        <v>136</v>
      </c>
      <c r="G227" s="152">
        <v>27</v>
      </c>
      <c r="H227" s="152">
        <v>27</v>
      </c>
    </row>
    <row r="228" spans="2:8" ht="15.75">
      <c r="B228" s="138" t="s">
        <v>366</v>
      </c>
      <c r="C228" s="150" t="s">
        <v>10</v>
      </c>
      <c r="D228" s="160">
        <v>38128</v>
      </c>
      <c r="E228" s="161" t="s">
        <v>329</v>
      </c>
      <c r="F228" s="162" t="s">
        <v>136</v>
      </c>
      <c r="G228" s="152">
        <f>16+12</f>
        <v>28</v>
      </c>
      <c r="H228" s="152">
        <f>16+12</f>
        <v>28</v>
      </c>
    </row>
    <row r="229" spans="2:8" ht="15.75">
      <c r="B229" s="138" t="s">
        <v>367</v>
      </c>
      <c r="C229" s="150" t="s">
        <v>10</v>
      </c>
      <c r="D229" s="160">
        <v>38072</v>
      </c>
      <c r="E229" s="161" t="s">
        <v>330</v>
      </c>
      <c r="F229" s="162" t="s">
        <v>136</v>
      </c>
      <c r="G229" s="152">
        <f>7+9</f>
        <v>16</v>
      </c>
      <c r="H229" s="152">
        <f>7+9</f>
        <v>16</v>
      </c>
    </row>
    <row r="230" spans="2:8" ht="15.75">
      <c r="B230" s="138" t="s">
        <v>368</v>
      </c>
      <c r="C230" s="150" t="s">
        <v>10</v>
      </c>
      <c r="D230" s="160">
        <v>38071</v>
      </c>
      <c r="E230" s="161" t="s">
        <v>331</v>
      </c>
      <c r="F230" s="162" t="s">
        <v>136</v>
      </c>
      <c r="G230" s="152">
        <f>15+4</f>
        <v>19</v>
      </c>
      <c r="H230" s="152">
        <f>15+4</f>
        <v>19</v>
      </c>
    </row>
    <row r="231" spans="2:8" ht="15.75">
      <c r="B231" s="138" t="s">
        <v>369</v>
      </c>
      <c r="C231" s="150" t="s">
        <v>10</v>
      </c>
      <c r="D231" s="160">
        <v>38070</v>
      </c>
      <c r="E231" s="161" t="s">
        <v>332</v>
      </c>
      <c r="F231" s="162" t="s">
        <v>136</v>
      </c>
      <c r="G231" s="152">
        <f>19+6</f>
        <v>25</v>
      </c>
      <c r="H231" s="152">
        <f>19+6</f>
        <v>25</v>
      </c>
    </row>
    <row r="232" spans="2:8" ht="15.75">
      <c r="B232" s="138" t="s">
        <v>370</v>
      </c>
      <c r="C232" s="150" t="s">
        <v>10</v>
      </c>
      <c r="D232" s="160">
        <v>38065</v>
      </c>
      <c r="E232" s="161" t="s">
        <v>333</v>
      </c>
      <c r="F232" s="162" t="s">
        <v>136</v>
      </c>
      <c r="G232" s="152">
        <f>5+1</f>
        <v>6</v>
      </c>
      <c r="H232" s="152">
        <f>5+1</f>
        <v>6</v>
      </c>
    </row>
    <row r="233" spans="2:8" ht="15.75">
      <c r="B233" s="138" t="s">
        <v>371</v>
      </c>
      <c r="C233" s="150" t="s">
        <v>10</v>
      </c>
      <c r="D233" s="160">
        <v>38080</v>
      </c>
      <c r="E233" s="161" t="s">
        <v>334</v>
      </c>
      <c r="F233" s="162" t="s">
        <v>136</v>
      </c>
      <c r="G233" s="152">
        <f>21+9</f>
        <v>30</v>
      </c>
      <c r="H233" s="152">
        <f>21+9</f>
        <v>30</v>
      </c>
    </row>
    <row r="234" spans="2:8" ht="15.75">
      <c r="B234" s="138" t="s">
        <v>372</v>
      </c>
      <c r="C234" s="150" t="s">
        <v>10</v>
      </c>
      <c r="D234" s="160">
        <v>39762</v>
      </c>
      <c r="E234" s="161" t="s">
        <v>335</v>
      </c>
      <c r="F234" s="162" t="s">
        <v>136</v>
      </c>
      <c r="G234" s="152">
        <v>3</v>
      </c>
      <c r="H234" s="152">
        <v>3</v>
      </c>
    </row>
    <row r="235" spans="2:8" ht="15.75">
      <c r="B235" s="138" t="s">
        <v>373</v>
      </c>
      <c r="C235" s="150" t="s">
        <v>10</v>
      </c>
      <c r="D235" s="160">
        <v>984</v>
      </c>
      <c r="E235" s="161" t="s">
        <v>336</v>
      </c>
      <c r="F235" s="162" t="s">
        <v>337</v>
      </c>
      <c r="G235" s="152">
        <f>56.91+313.89+350.89</f>
        <v>721.68999999999994</v>
      </c>
      <c r="H235" s="152">
        <f>56.91+313.89+350.89</f>
        <v>721.68999999999994</v>
      </c>
    </row>
    <row r="236" spans="2:8" ht="15.75">
      <c r="B236" s="138" t="s">
        <v>374</v>
      </c>
      <c r="C236" s="150" t="s">
        <v>10</v>
      </c>
      <c r="D236" s="160">
        <v>984</v>
      </c>
      <c r="E236" s="161" t="s">
        <v>338</v>
      </c>
      <c r="F236" s="162" t="s">
        <v>134</v>
      </c>
      <c r="G236" s="152">
        <f>52.45+224.88+280.47</f>
        <v>557.79999999999995</v>
      </c>
      <c r="H236" s="152">
        <f>52.45+224.88+280.47</f>
        <v>557.79999999999995</v>
      </c>
    </row>
    <row r="237" spans="2:8" ht="15.75">
      <c r="B237" s="138" t="s">
        <v>375</v>
      </c>
      <c r="C237" s="150" t="s">
        <v>10</v>
      </c>
      <c r="D237" s="160">
        <v>984</v>
      </c>
      <c r="E237" s="161" t="s">
        <v>339</v>
      </c>
      <c r="F237" s="162" t="s">
        <v>134</v>
      </c>
      <c r="G237" s="152">
        <f>68.54+320.85+383.07</f>
        <v>772.46</v>
      </c>
      <c r="H237" s="152">
        <f>68.54+320.85+383.07</f>
        <v>772.46</v>
      </c>
    </row>
    <row r="238" spans="2:8" ht="15.75">
      <c r="B238" s="138" t="s">
        <v>376</v>
      </c>
      <c r="C238" s="150" t="s">
        <v>10</v>
      </c>
      <c r="D238" s="160">
        <v>984</v>
      </c>
      <c r="E238" s="161" t="s">
        <v>340</v>
      </c>
      <c r="F238" s="162" t="s">
        <v>134</v>
      </c>
      <c r="G238" s="152">
        <f>71.69+476.43+525.25</f>
        <v>1073.3699999999999</v>
      </c>
      <c r="H238" s="152">
        <f>71.69+476.43+525.25</f>
        <v>1073.3699999999999</v>
      </c>
    </row>
    <row r="239" spans="2:8" ht="15.75">
      <c r="B239" s="138" t="s">
        <v>377</v>
      </c>
      <c r="C239" s="150" t="s">
        <v>10</v>
      </c>
      <c r="D239" s="160">
        <v>1008</v>
      </c>
      <c r="E239" s="163" t="s">
        <v>341</v>
      </c>
      <c r="F239" s="164" t="s">
        <v>134</v>
      </c>
      <c r="G239" s="152">
        <f>138.9+172.5</f>
        <v>311.39999999999998</v>
      </c>
      <c r="H239" s="152">
        <f>138.9+172.5</f>
        <v>311.39999999999998</v>
      </c>
    </row>
    <row r="240" spans="2:8" ht="15.75">
      <c r="B240" s="138" t="s">
        <v>378</v>
      </c>
      <c r="C240" s="150" t="s">
        <v>10</v>
      </c>
      <c r="D240" s="160">
        <v>1008</v>
      </c>
      <c r="E240" s="163" t="s">
        <v>342</v>
      </c>
      <c r="F240" s="164" t="s">
        <v>134</v>
      </c>
      <c r="G240" s="152">
        <f>69.45+86.25</f>
        <v>155.69999999999999</v>
      </c>
      <c r="H240" s="152">
        <f>69.45+86.25</f>
        <v>155.69999999999999</v>
      </c>
    </row>
    <row r="241" spans="2:8" ht="15.75">
      <c r="B241" s="138" t="s">
        <v>379</v>
      </c>
      <c r="C241" s="150" t="s">
        <v>10</v>
      </c>
      <c r="D241" s="164">
        <v>1014</v>
      </c>
      <c r="E241" s="161" t="s">
        <v>343</v>
      </c>
      <c r="F241" s="162" t="s">
        <v>134</v>
      </c>
      <c r="G241" s="152">
        <v>386.89</v>
      </c>
      <c r="H241" s="152">
        <v>386.89</v>
      </c>
    </row>
    <row r="242" spans="2:8" ht="15.75">
      <c r="B242" s="138" t="s">
        <v>380</v>
      </c>
      <c r="C242" s="150" t="s">
        <v>10</v>
      </c>
      <c r="D242" s="164">
        <v>1014</v>
      </c>
      <c r="E242" s="161" t="s">
        <v>344</v>
      </c>
      <c r="F242" s="162" t="s">
        <v>134</v>
      </c>
      <c r="G242" s="152">
        <v>337.48</v>
      </c>
      <c r="H242" s="152">
        <v>337.48</v>
      </c>
    </row>
    <row r="243" spans="2:8" ht="15.75">
      <c r="B243" s="138" t="s">
        <v>381</v>
      </c>
      <c r="C243" s="150" t="s">
        <v>10</v>
      </c>
      <c r="D243" s="164">
        <v>1014</v>
      </c>
      <c r="E243" s="161" t="s">
        <v>345</v>
      </c>
      <c r="F243" s="162" t="s">
        <v>134</v>
      </c>
      <c r="G243" s="152">
        <v>347.24</v>
      </c>
      <c r="H243" s="152">
        <v>347.24</v>
      </c>
    </row>
    <row r="244" spans="2:8" ht="15.75">
      <c r="B244" s="138" t="s">
        <v>382</v>
      </c>
      <c r="C244" s="150" t="s">
        <v>10</v>
      </c>
      <c r="D244" s="164">
        <v>1014</v>
      </c>
      <c r="E244" s="161" t="s">
        <v>346</v>
      </c>
      <c r="F244" s="162" t="s">
        <v>134</v>
      </c>
      <c r="G244" s="152">
        <v>372.24</v>
      </c>
      <c r="H244" s="152">
        <v>372.24</v>
      </c>
    </row>
    <row r="245" spans="2:8" ht="15.75">
      <c r="B245" s="138" t="s">
        <v>383</v>
      </c>
      <c r="C245" s="150" t="s">
        <v>10</v>
      </c>
      <c r="D245" s="164">
        <v>981</v>
      </c>
      <c r="E245" s="161" t="s">
        <v>347</v>
      </c>
      <c r="F245" s="162" t="s">
        <v>134</v>
      </c>
      <c r="G245" s="152">
        <v>134.34</v>
      </c>
      <c r="H245" s="152">
        <v>134.34</v>
      </c>
    </row>
    <row r="246" spans="2:8" ht="15.75">
      <c r="B246" s="138" t="s">
        <v>384</v>
      </c>
      <c r="C246" s="150" t="s">
        <v>10</v>
      </c>
      <c r="D246" s="164">
        <v>981</v>
      </c>
      <c r="E246" s="161" t="s">
        <v>348</v>
      </c>
      <c r="F246" s="162" t="s">
        <v>134</v>
      </c>
      <c r="G246" s="152">
        <v>86.69</v>
      </c>
      <c r="H246" s="152">
        <v>86.69</v>
      </c>
    </row>
    <row r="247" spans="2:8" ht="15.75">
      <c r="B247" s="138" t="s">
        <v>385</v>
      </c>
      <c r="C247" s="150" t="s">
        <v>10</v>
      </c>
      <c r="D247" s="164">
        <v>981</v>
      </c>
      <c r="E247" s="161" t="s">
        <v>349</v>
      </c>
      <c r="F247" s="162" t="s">
        <v>134</v>
      </c>
      <c r="G247" s="152">
        <v>85.21</v>
      </c>
      <c r="H247" s="152">
        <v>85.21</v>
      </c>
    </row>
    <row r="248" spans="2:8" ht="15.75">
      <c r="B248" s="138" t="s">
        <v>386</v>
      </c>
      <c r="C248" s="150" t="s">
        <v>10</v>
      </c>
      <c r="D248" s="164">
        <v>981</v>
      </c>
      <c r="E248" s="161" t="s">
        <v>350</v>
      </c>
      <c r="F248" s="162" t="s">
        <v>134</v>
      </c>
      <c r="G248" s="152">
        <v>107.3</v>
      </c>
      <c r="H248" s="152">
        <v>107.3</v>
      </c>
    </row>
    <row r="249" spans="2:8" ht="15.75">
      <c r="B249" s="138" t="s">
        <v>387</v>
      </c>
      <c r="C249" s="150" t="s">
        <v>10</v>
      </c>
      <c r="D249" s="164">
        <v>39232</v>
      </c>
      <c r="E249" s="161" t="s">
        <v>351</v>
      </c>
      <c r="F249" s="162" t="s">
        <v>134</v>
      </c>
      <c r="G249" s="152">
        <v>40.299999999999997</v>
      </c>
      <c r="H249" s="152">
        <v>40.299999999999997</v>
      </c>
    </row>
    <row r="250" spans="2:8" ht="15.75">
      <c r="B250" s="138" t="s">
        <v>388</v>
      </c>
      <c r="C250" s="150" t="s">
        <v>10</v>
      </c>
      <c r="D250" s="164">
        <v>39233</v>
      </c>
      <c r="E250" s="161" t="s">
        <v>352</v>
      </c>
      <c r="F250" s="162" t="s">
        <v>134</v>
      </c>
      <c r="G250" s="152">
        <f t="shared" ref="G250:H252" si="1">21.84+37.43</f>
        <v>59.269999999999996</v>
      </c>
      <c r="H250" s="152">
        <f t="shared" si="1"/>
        <v>59.269999999999996</v>
      </c>
    </row>
    <row r="251" spans="2:8" ht="15.75">
      <c r="B251" s="138" t="s">
        <v>389</v>
      </c>
      <c r="C251" s="150" t="s">
        <v>10</v>
      </c>
      <c r="D251" s="164">
        <v>39235</v>
      </c>
      <c r="E251" s="161" t="s">
        <v>353</v>
      </c>
      <c r="F251" s="162" t="s">
        <v>134</v>
      </c>
      <c r="G251" s="152">
        <f t="shared" si="1"/>
        <v>59.269999999999996</v>
      </c>
      <c r="H251" s="152">
        <f t="shared" si="1"/>
        <v>59.269999999999996</v>
      </c>
    </row>
    <row r="252" spans="2:8" ht="15.75">
      <c r="B252" s="138" t="s">
        <v>390</v>
      </c>
      <c r="C252" s="150" t="s">
        <v>10</v>
      </c>
      <c r="D252" s="164">
        <v>39235</v>
      </c>
      <c r="E252" s="161" t="s">
        <v>354</v>
      </c>
      <c r="F252" s="162" t="s">
        <v>134</v>
      </c>
      <c r="G252" s="152">
        <f t="shared" si="1"/>
        <v>59.269999999999996</v>
      </c>
      <c r="H252" s="152">
        <f t="shared" si="1"/>
        <v>59.269999999999996</v>
      </c>
    </row>
    <row r="253" spans="2:8" ht="15.75">
      <c r="B253" s="138" t="s">
        <v>391</v>
      </c>
      <c r="C253" s="150" t="s">
        <v>10</v>
      </c>
      <c r="D253" s="160">
        <v>2370</v>
      </c>
      <c r="E253" s="161" t="s">
        <v>355</v>
      </c>
      <c r="F253" s="162" t="s">
        <v>136</v>
      </c>
      <c r="G253" s="152">
        <v>4</v>
      </c>
      <c r="H253" s="152">
        <v>4</v>
      </c>
    </row>
    <row r="254" spans="2:8" ht="15.75">
      <c r="B254" s="138" t="s">
        <v>392</v>
      </c>
      <c r="C254" s="150" t="s">
        <v>10</v>
      </c>
      <c r="D254" s="165">
        <v>2370</v>
      </c>
      <c r="E254" s="161" t="s">
        <v>356</v>
      </c>
      <c r="F254" s="162" t="s">
        <v>136</v>
      </c>
      <c r="G254" s="152">
        <v>13</v>
      </c>
      <c r="H254" s="152">
        <v>13</v>
      </c>
    </row>
    <row r="255" spans="2:8" ht="15.75">
      <c r="B255" s="138" t="s">
        <v>393</v>
      </c>
      <c r="C255" s="150" t="s">
        <v>10</v>
      </c>
      <c r="D255" s="160">
        <v>2370</v>
      </c>
      <c r="E255" s="161" t="s">
        <v>357</v>
      </c>
      <c r="F255" s="162" t="s">
        <v>136</v>
      </c>
      <c r="G255" s="152">
        <v>1</v>
      </c>
      <c r="H255" s="152">
        <v>1</v>
      </c>
    </row>
    <row r="256" spans="2:8" ht="15.75">
      <c r="B256" s="138" t="s">
        <v>394</v>
      </c>
      <c r="C256" s="150" t="s">
        <v>10</v>
      </c>
      <c r="D256" s="160">
        <v>2388</v>
      </c>
      <c r="E256" s="163" t="s">
        <v>358</v>
      </c>
      <c r="F256" s="162" t="s">
        <v>136</v>
      </c>
      <c r="G256" s="152">
        <f>16+5</f>
        <v>21</v>
      </c>
      <c r="H256" s="152">
        <f>16+5</f>
        <v>21</v>
      </c>
    </row>
    <row r="257" spans="2:10" ht="15.75">
      <c r="B257" s="138" t="s">
        <v>395</v>
      </c>
      <c r="C257" s="150" t="s">
        <v>10</v>
      </c>
      <c r="D257" s="160">
        <v>2374</v>
      </c>
      <c r="E257" s="163" t="s">
        <v>359</v>
      </c>
      <c r="F257" s="162" t="s">
        <v>136</v>
      </c>
      <c r="G257" s="152">
        <v>2</v>
      </c>
      <c r="H257" s="152">
        <v>2</v>
      </c>
    </row>
    <row r="258" spans="2:10" ht="15.75">
      <c r="B258" s="138" t="s">
        <v>396</v>
      </c>
      <c r="C258" s="150" t="s">
        <v>10</v>
      </c>
      <c r="D258" s="160">
        <v>34729</v>
      </c>
      <c r="E258" s="163" t="s">
        <v>360</v>
      </c>
      <c r="F258" s="162" t="s">
        <v>136</v>
      </c>
      <c r="G258" s="152">
        <v>1</v>
      </c>
      <c r="H258" s="152">
        <v>1</v>
      </c>
    </row>
    <row r="259" spans="2:10" ht="15.75">
      <c r="B259" s="181"/>
      <c r="C259" s="182"/>
      <c r="D259" s="182"/>
      <c r="E259" s="182"/>
      <c r="F259" s="182"/>
      <c r="G259" s="183"/>
      <c r="H259" s="184"/>
    </row>
    <row r="260" spans="2:10" ht="15.75">
      <c r="B260" s="121"/>
      <c r="C260" s="122"/>
      <c r="D260" s="122"/>
      <c r="E260" s="122"/>
      <c r="F260" s="122"/>
      <c r="G260" s="122"/>
      <c r="H260" s="123"/>
      <c r="I260" s="53"/>
      <c r="J260" s="53"/>
    </row>
    <row r="261" spans="2:10" ht="15.75">
      <c r="B261" s="121"/>
      <c r="C261" s="122"/>
      <c r="D261" s="122"/>
      <c r="E261" s="122"/>
      <c r="F261" s="122"/>
      <c r="G261" s="122"/>
      <c r="H261" s="123"/>
      <c r="I261" s="53"/>
      <c r="J261" s="53"/>
    </row>
    <row r="262" spans="2:10" ht="15.75">
      <c r="B262" s="124"/>
      <c r="C262" s="166"/>
      <c r="D262" s="167"/>
      <c r="E262" s="168"/>
      <c r="F262" s="167"/>
      <c r="G262" s="125"/>
      <c r="H262" s="169"/>
      <c r="I262" s="3"/>
      <c r="J262" s="3"/>
    </row>
    <row r="263" spans="2:10" ht="15.75">
      <c r="B263" s="191" t="s">
        <v>510</v>
      </c>
      <c r="C263" s="192"/>
      <c r="D263" s="192"/>
      <c r="E263" s="192"/>
      <c r="F263" s="192"/>
      <c r="G263" s="192"/>
      <c r="H263" s="193"/>
      <c r="I263" s="111"/>
      <c r="J263" s="111"/>
    </row>
    <row r="264" spans="2:10" ht="15.75">
      <c r="B264" s="191" t="s">
        <v>511</v>
      </c>
      <c r="C264" s="192"/>
      <c r="D264" s="192"/>
      <c r="E264" s="192"/>
      <c r="F264" s="192"/>
      <c r="G264" s="192"/>
      <c r="H264" s="193"/>
      <c r="I264" s="111"/>
      <c r="J264" s="111"/>
    </row>
    <row r="265" spans="2:10" ht="15.75">
      <c r="B265" s="191" t="s">
        <v>512</v>
      </c>
      <c r="C265" s="192"/>
      <c r="D265" s="192"/>
      <c r="E265" s="192"/>
      <c r="F265" s="192"/>
      <c r="G265" s="192"/>
      <c r="H265" s="193"/>
      <c r="I265" s="111"/>
      <c r="J265" s="111"/>
    </row>
    <row r="266" spans="2:10" ht="15.75">
      <c r="B266" s="194" t="s">
        <v>513</v>
      </c>
      <c r="C266" s="195"/>
      <c r="D266" s="195"/>
      <c r="E266" s="195"/>
      <c r="F266" s="195"/>
      <c r="G266" s="195"/>
      <c r="H266" s="196"/>
      <c r="I266" s="111"/>
      <c r="J266" s="111"/>
    </row>
    <row r="267" spans="2:10">
      <c r="B267" s="54"/>
      <c r="C267" s="54"/>
      <c r="D267" s="54"/>
      <c r="E267" s="54"/>
      <c r="F267" s="54"/>
      <c r="G267" s="120"/>
      <c r="H267" s="120"/>
      <c r="I267" s="54"/>
      <c r="J267" s="54"/>
    </row>
  </sheetData>
  <mergeCells count="67">
    <mergeCell ref="F28:H28"/>
    <mergeCell ref="C31:D31"/>
    <mergeCell ref="F31:H31"/>
    <mergeCell ref="C21:D21"/>
    <mergeCell ref="F21:H21"/>
    <mergeCell ref="C23:D23"/>
    <mergeCell ref="F23:H23"/>
    <mergeCell ref="C28:D28"/>
    <mergeCell ref="B2:H2"/>
    <mergeCell ref="B3:H3"/>
    <mergeCell ref="B4:H4"/>
    <mergeCell ref="B5:H5"/>
    <mergeCell ref="C14:D14"/>
    <mergeCell ref="F14:H14"/>
    <mergeCell ref="B7:H7"/>
    <mergeCell ref="C8:D8"/>
    <mergeCell ref="F8:H8"/>
    <mergeCell ref="C12:D12"/>
    <mergeCell ref="F12:H12"/>
    <mergeCell ref="C50:D50"/>
    <mergeCell ref="F50:H50"/>
    <mergeCell ref="C58:D58"/>
    <mergeCell ref="F58:H58"/>
    <mergeCell ref="B41:H41"/>
    <mergeCell ref="C42:D42"/>
    <mergeCell ref="F42:H42"/>
    <mergeCell ref="C45:D45"/>
    <mergeCell ref="F45:H45"/>
    <mergeCell ref="C35:D35"/>
    <mergeCell ref="F35:H35"/>
    <mergeCell ref="C38:D38"/>
    <mergeCell ref="F38:H38"/>
    <mergeCell ref="B40:H40"/>
    <mergeCell ref="C77:D77"/>
    <mergeCell ref="F77:H77"/>
    <mergeCell ref="C85:D85"/>
    <mergeCell ref="F85:H85"/>
    <mergeCell ref="C69:D69"/>
    <mergeCell ref="F69:H69"/>
    <mergeCell ref="C71:D71"/>
    <mergeCell ref="F71:H71"/>
    <mergeCell ref="C99:D99"/>
    <mergeCell ref="F99:H99"/>
    <mergeCell ref="C87:D87"/>
    <mergeCell ref="F87:H87"/>
    <mergeCell ref="C95:D95"/>
    <mergeCell ref="F95:H95"/>
    <mergeCell ref="C90:D90"/>
    <mergeCell ref="F90:H90"/>
    <mergeCell ref="C119:D119"/>
    <mergeCell ref="F119:H119"/>
    <mergeCell ref="B121:H121"/>
    <mergeCell ref="C112:D112"/>
    <mergeCell ref="F112:H112"/>
    <mergeCell ref="C115:D115"/>
    <mergeCell ref="F115:H115"/>
    <mergeCell ref="B265:H265"/>
    <mergeCell ref="B266:H266"/>
    <mergeCell ref="C203:D203"/>
    <mergeCell ref="F203:H203"/>
    <mergeCell ref="C215:D215"/>
    <mergeCell ref="F215:H215"/>
    <mergeCell ref="B122:H122"/>
    <mergeCell ref="C123:D123"/>
    <mergeCell ref="F123:H123"/>
    <mergeCell ref="B263:H263"/>
    <mergeCell ref="B264:H26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77" fitToHeight="0" orientation="landscape" r:id="rId1"/>
  <rowBreaks count="4" manualBreakCount="4">
    <brk id="44" min="1" max="7" man="1"/>
    <brk id="89" min="1" max="7" man="1"/>
    <brk id="137" min="1" max="7" man="1"/>
    <brk id="224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2:P58"/>
  <sheetViews>
    <sheetView topLeftCell="A28" zoomScaleNormal="100" workbookViewId="0">
      <selection activeCell="W57" sqref="W57"/>
    </sheetView>
  </sheetViews>
  <sheetFormatPr defaultRowHeight="15"/>
  <cols>
    <col min="16" max="16" width="9.42578125" bestFit="1" customWidth="1"/>
  </cols>
  <sheetData>
    <row r="2" spans="7:16" ht="21" thickBot="1">
      <c r="G2" s="217" t="s">
        <v>483</v>
      </c>
      <c r="H2" s="217"/>
      <c r="I2" s="217"/>
      <c r="J2" s="217"/>
      <c r="K2" s="217"/>
      <c r="L2" s="217"/>
      <c r="M2" s="217"/>
      <c r="N2" s="217"/>
      <c r="O2" s="217"/>
      <c r="P2" s="217"/>
    </row>
    <row r="3" spans="7:16" ht="15.75">
      <c r="G3" s="218" t="s">
        <v>484</v>
      </c>
      <c r="H3" s="218"/>
      <c r="I3" s="218"/>
      <c r="J3" s="218"/>
      <c r="K3" s="218"/>
      <c r="L3" s="218"/>
      <c r="M3" s="218"/>
      <c r="N3" s="218"/>
      <c r="O3" s="91" t="s">
        <v>485</v>
      </c>
      <c r="P3" s="92">
        <v>44166</v>
      </c>
    </row>
    <row r="4" spans="7:16" ht="15.75">
      <c r="G4" s="218" t="s">
        <v>486</v>
      </c>
      <c r="H4" s="218"/>
      <c r="I4" s="218"/>
      <c r="J4" s="218"/>
      <c r="K4" s="218"/>
      <c r="L4" s="218"/>
      <c r="M4" s="218"/>
      <c r="N4" s="218"/>
      <c r="O4" s="93" t="s">
        <v>487</v>
      </c>
      <c r="P4" s="94">
        <v>44229</v>
      </c>
    </row>
    <row r="5" spans="7:16" ht="15.75">
      <c r="G5" s="219"/>
      <c r="H5" s="220"/>
      <c r="I5" s="220"/>
      <c r="J5" s="220"/>
      <c r="K5" s="220"/>
      <c r="L5" s="220"/>
      <c r="M5" s="221"/>
      <c r="N5" s="221"/>
      <c r="O5" s="179"/>
      <c r="P5" s="180"/>
    </row>
    <row r="6" spans="7:16">
      <c r="G6" s="70"/>
      <c r="H6" s="54"/>
      <c r="I6" s="54"/>
      <c r="J6" s="54"/>
      <c r="K6" s="54"/>
      <c r="L6" s="54"/>
      <c r="M6" s="54"/>
      <c r="N6" s="54"/>
      <c r="O6" s="54"/>
      <c r="P6" s="71"/>
    </row>
    <row r="7" spans="7:16">
      <c r="G7" s="178" t="s">
        <v>488</v>
      </c>
      <c r="H7" s="54"/>
      <c r="I7" s="54"/>
      <c r="J7" s="54"/>
      <c r="K7" s="54"/>
      <c r="L7" s="54"/>
      <c r="M7" s="54"/>
      <c r="N7" s="54"/>
      <c r="O7" s="54"/>
      <c r="P7" s="71"/>
    </row>
    <row r="8" spans="7:16" ht="15.75" thickBot="1">
      <c r="G8" s="70"/>
      <c r="H8" s="54"/>
      <c r="I8" s="54"/>
      <c r="J8" s="54"/>
      <c r="K8" s="54"/>
      <c r="L8" s="54"/>
      <c r="M8" s="54"/>
      <c r="N8" s="54"/>
      <c r="O8" s="54"/>
      <c r="P8" s="71"/>
    </row>
    <row r="9" spans="7:16" ht="15.75" thickBot="1">
      <c r="G9" s="70"/>
      <c r="H9" s="56">
        <v>3.3500000000000002E-2</v>
      </c>
      <c r="I9" s="54"/>
      <c r="J9" s="54"/>
      <c r="K9" s="54"/>
      <c r="L9" s="54"/>
      <c r="M9" s="54"/>
      <c r="N9" s="54"/>
      <c r="O9" s="54"/>
      <c r="P9" s="71"/>
    </row>
    <row r="10" spans="7:16" ht="15.75" thickBot="1">
      <c r="G10" s="70"/>
      <c r="H10" s="54"/>
      <c r="I10" s="54"/>
      <c r="J10" s="54"/>
      <c r="K10" s="57"/>
      <c r="L10" s="58" t="s">
        <v>489</v>
      </c>
      <c r="M10" s="55"/>
      <c r="N10" s="55"/>
      <c r="O10" s="59"/>
      <c r="P10" s="72">
        <f>1+H9+H13+H18</f>
        <v>1.0562</v>
      </c>
    </row>
    <row r="11" spans="7:16" ht="15.75" thickBot="1">
      <c r="G11" s="70" t="s">
        <v>490</v>
      </c>
      <c r="H11" s="54"/>
      <c r="I11" s="54"/>
      <c r="J11" s="54"/>
      <c r="K11" s="57"/>
      <c r="L11" s="60" t="s">
        <v>126</v>
      </c>
      <c r="M11" s="54"/>
      <c r="N11" s="54"/>
      <c r="O11" s="61"/>
      <c r="P11" s="72">
        <f>1+H22</f>
        <v>1.0139</v>
      </c>
    </row>
    <row r="12" spans="7:16" ht="15.75" thickBot="1">
      <c r="G12" s="70"/>
      <c r="H12" s="54"/>
      <c r="I12" s="54"/>
      <c r="J12" s="54"/>
      <c r="K12" s="57"/>
      <c r="L12" s="60" t="s">
        <v>491</v>
      </c>
      <c r="M12" s="54"/>
      <c r="N12" s="54"/>
      <c r="O12" s="61"/>
      <c r="P12" s="72">
        <f>1+H26</f>
        <v>1.0895999999999999</v>
      </c>
    </row>
    <row r="13" spans="7:16" ht="15.75" thickBot="1">
      <c r="G13" s="70"/>
      <c r="H13" s="56">
        <v>0.01</v>
      </c>
      <c r="I13" s="54"/>
      <c r="J13" s="54"/>
      <c r="K13" s="57"/>
      <c r="L13" s="60" t="s">
        <v>492</v>
      </c>
      <c r="M13" s="54"/>
      <c r="N13" s="54"/>
      <c r="O13" s="61"/>
      <c r="P13" s="72">
        <f>1-I32-K32-M32-I34</f>
        <v>0.88849999999999996</v>
      </c>
    </row>
    <row r="14" spans="7:16" ht="15.75" thickBot="1">
      <c r="G14" s="70"/>
      <c r="H14" s="54"/>
      <c r="I14" s="54"/>
      <c r="J14" s="54"/>
      <c r="K14" s="54"/>
      <c r="L14" s="62" t="s">
        <v>493</v>
      </c>
      <c r="M14" s="63"/>
      <c r="N14" s="63"/>
      <c r="O14" s="64"/>
      <c r="P14" s="72">
        <f>1-I32-K32-M32</f>
        <v>0.9335</v>
      </c>
    </row>
    <row r="15" spans="7:16">
      <c r="G15" s="70"/>
      <c r="H15" s="54"/>
      <c r="I15" s="54"/>
      <c r="J15" s="54"/>
      <c r="K15" s="54"/>
      <c r="L15" s="54"/>
      <c r="M15" s="54"/>
      <c r="N15" s="54"/>
      <c r="O15" s="54"/>
      <c r="P15" s="71"/>
    </row>
    <row r="16" spans="7:16">
      <c r="G16" s="70" t="s">
        <v>494</v>
      </c>
      <c r="H16" s="54"/>
      <c r="I16" s="54"/>
      <c r="J16" s="54"/>
      <c r="K16" s="54"/>
      <c r="L16" s="54"/>
      <c r="M16" s="54"/>
      <c r="N16" s="54"/>
      <c r="O16" s="54"/>
      <c r="P16" s="71"/>
    </row>
    <row r="17" spans="7:16" ht="15.75" thickBot="1">
      <c r="G17" s="70"/>
      <c r="H17" s="54"/>
      <c r="I17" s="54"/>
      <c r="J17" s="54"/>
      <c r="K17" s="54"/>
      <c r="L17" s="54"/>
      <c r="M17" s="54"/>
      <c r="N17" s="54"/>
      <c r="O17" s="54"/>
      <c r="P17" s="71"/>
    </row>
    <row r="18" spans="7:16" ht="15.75" thickBot="1">
      <c r="G18" s="70"/>
      <c r="H18" s="56">
        <v>1.2699999999999999E-2</v>
      </c>
      <c r="I18" s="54"/>
      <c r="J18" s="54"/>
      <c r="K18" s="54"/>
      <c r="L18" s="54"/>
      <c r="M18" s="54"/>
      <c r="N18" s="54"/>
      <c r="O18" s="54"/>
      <c r="P18" s="71"/>
    </row>
    <row r="19" spans="7:16">
      <c r="G19" s="70"/>
      <c r="H19" s="54"/>
      <c r="I19" s="54"/>
      <c r="J19" s="54"/>
      <c r="K19" s="54"/>
      <c r="L19" s="54"/>
      <c r="M19" s="54"/>
      <c r="N19" s="54"/>
      <c r="O19" s="54"/>
      <c r="P19" s="71"/>
    </row>
    <row r="20" spans="7:16">
      <c r="G20" s="70" t="s">
        <v>495</v>
      </c>
      <c r="H20" s="54"/>
      <c r="I20" s="54"/>
      <c r="J20" s="54"/>
      <c r="K20" s="54"/>
      <c r="L20" s="54"/>
      <c r="M20" s="54"/>
      <c r="N20" s="54"/>
      <c r="O20" s="54"/>
      <c r="P20" s="71"/>
    </row>
    <row r="21" spans="7:16" ht="15.75" thickBot="1">
      <c r="G21" s="70"/>
      <c r="H21" s="54"/>
      <c r="I21" s="54"/>
      <c r="J21" s="54"/>
      <c r="K21" s="54"/>
      <c r="L21" s="54"/>
      <c r="M21" s="54"/>
      <c r="N21" s="54"/>
      <c r="O21" s="54"/>
      <c r="P21" s="71"/>
    </row>
    <row r="22" spans="7:16" ht="15.75" thickBot="1">
      <c r="G22" s="70"/>
      <c r="H22" s="56">
        <v>1.3899999999999999E-2</v>
      </c>
      <c r="I22" s="54"/>
      <c r="J22" s="54"/>
      <c r="K22" s="54"/>
      <c r="L22" s="54"/>
      <c r="M22" s="54"/>
      <c r="N22" s="54"/>
      <c r="O22" s="54"/>
      <c r="P22" s="71"/>
    </row>
    <row r="23" spans="7:16">
      <c r="G23" s="70"/>
      <c r="H23" s="54"/>
      <c r="I23" s="54"/>
      <c r="J23" s="54"/>
      <c r="K23" s="54"/>
      <c r="L23" s="54"/>
      <c r="M23" s="54"/>
      <c r="N23" s="54"/>
      <c r="O23" s="54"/>
      <c r="P23" s="71"/>
    </row>
    <row r="24" spans="7:16">
      <c r="G24" s="70" t="s">
        <v>496</v>
      </c>
      <c r="H24" s="54"/>
      <c r="I24" s="54"/>
      <c r="J24" s="54"/>
      <c r="K24" s="54"/>
      <c r="L24" s="54"/>
      <c r="M24" s="54"/>
      <c r="N24" s="54"/>
      <c r="O24" s="54"/>
      <c r="P24" s="71"/>
    </row>
    <row r="25" spans="7:16" ht="15.75" thickBot="1">
      <c r="G25" s="70"/>
      <c r="H25" s="54"/>
      <c r="I25" s="54"/>
      <c r="J25" s="54"/>
      <c r="K25" s="54"/>
      <c r="L25" s="54"/>
      <c r="M25" s="54"/>
      <c r="N25" s="54"/>
      <c r="O25" s="54"/>
      <c r="P25" s="71"/>
    </row>
    <row r="26" spans="7:16" ht="15.75" thickBot="1">
      <c r="G26" s="70"/>
      <c r="H26" s="56">
        <v>8.9599999999999999E-2</v>
      </c>
      <c r="I26" s="54"/>
      <c r="J26" s="54"/>
      <c r="K26" s="54"/>
      <c r="L26" s="54"/>
      <c r="M26" s="54"/>
      <c r="N26" s="54"/>
      <c r="O26" s="54"/>
      <c r="P26" s="71"/>
    </row>
    <row r="27" spans="7:16">
      <c r="G27" s="70"/>
      <c r="H27" s="65"/>
      <c r="I27" s="54"/>
      <c r="J27" s="54"/>
      <c r="K27" s="54"/>
      <c r="L27" s="54"/>
      <c r="M27" s="54"/>
      <c r="N27" s="54"/>
      <c r="O27" s="54"/>
      <c r="P27" s="71"/>
    </row>
    <row r="28" spans="7:16">
      <c r="G28" s="73" t="s">
        <v>497</v>
      </c>
      <c r="H28" s="30"/>
      <c r="I28" s="30"/>
      <c r="J28" s="30"/>
      <c r="K28" s="30"/>
      <c r="L28" s="30"/>
      <c r="M28" s="30"/>
      <c r="N28" s="30"/>
      <c r="O28" s="30"/>
      <c r="P28" s="74"/>
    </row>
    <row r="29" spans="7:16">
      <c r="G29" s="209" t="s">
        <v>498</v>
      </c>
      <c r="H29" s="210"/>
      <c r="I29" s="210"/>
      <c r="J29" s="210"/>
      <c r="K29" s="210"/>
      <c r="L29" s="210"/>
      <c r="M29" s="210"/>
      <c r="N29" s="210"/>
      <c r="O29" s="210"/>
      <c r="P29" s="211"/>
    </row>
    <row r="30" spans="7:16">
      <c r="G30" s="70"/>
      <c r="H30" s="54"/>
      <c r="I30" s="54"/>
      <c r="J30" s="54"/>
      <c r="K30" s="54"/>
      <c r="L30" s="54"/>
      <c r="M30" s="54"/>
      <c r="N30" s="54"/>
      <c r="O30" s="54"/>
      <c r="P30" s="71"/>
    </row>
    <row r="31" spans="7:16" ht="15.75" thickBot="1">
      <c r="G31" s="70"/>
      <c r="H31" s="54"/>
      <c r="I31" s="54"/>
      <c r="J31" s="54"/>
      <c r="K31" s="54"/>
      <c r="L31" s="54"/>
      <c r="M31" s="54"/>
      <c r="N31" s="54"/>
      <c r="O31" s="54"/>
      <c r="P31" s="71"/>
    </row>
    <row r="32" spans="7:16" ht="15.75" thickBot="1">
      <c r="G32" s="70"/>
      <c r="H32" s="66" t="s">
        <v>499</v>
      </c>
      <c r="I32" s="56">
        <v>0.03</v>
      </c>
      <c r="J32" s="66" t="s">
        <v>500</v>
      </c>
      <c r="K32" s="56">
        <v>6.4999999999999997E-3</v>
      </c>
      <c r="L32" s="66" t="s">
        <v>501</v>
      </c>
      <c r="M32" s="56">
        <v>0.03</v>
      </c>
      <c r="N32" s="54"/>
      <c r="O32" s="54"/>
      <c r="P32" s="71"/>
    </row>
    <row r="33" spans="7:16" ht="15.75" thickBot="1">
      <c r="G33" s="70"/>
      <c r="H33" s="54"/>
      <c r="I33" s="54"/>
      <c r="J33" s="54"/>
      <c r="K33" s="54"/>
      <c r="L33" s="54"/>
      <c r="M33" s="54"/>
      <c r="N33" s="54"/>
      <c r="O33" s="54"/>
      <c r="P33" s="71"/>
    </row>
    <row r="34" spans="7:16" ht="15.75" thickBot="1">
      <c r="G34" s="212" t="s">
        <v>502</v>
      </c>
      <c r="H34" s="213"/>
      <c r="I34" s="56">
        <v>4.4999999999999998E-2</v>
      </c>
      <c r="J34" s="54"/>
      <c r="K34" s="54"/>
      <c r="L34" s="54"/>
      <c r="M34" s="54"/>
      <c r="N34" s="54"/>
      <c r="O34" s="54"/>
      <c r="P34" s="71"/>
    </row>
    <row r="35" spans="7:16">
      <c r="G35" s="70"/>
      <c r="H35" s="54"/>
      <c r="I35" s="54"/>
      <c r="J35" s="54"/>
      <c r="K35" s="54"/>
      <c r="L35" s="54"/>
      <c r="M35" s="54"/>
      <c r="N35" s="54"/>
      <c r="O35" s="54"/>
      <c r="P35" s="71"/>
    </row>
    <row r="36" spans="7:16">
      <c r="G36" s="70"/>
      <c r="H36" s="54"/>
      <c r="I36" s="54"/>
      <c r="J36" s="54"/>
      <c r="K36" s="54"/>
      <c r="L36" s="54"/>
      <c r="M36" s="54"/>
      <c r="N36" s="54"/>
      <c r="O36" s="54"/>
      <c r="P36" s="71"/>
    </row>
    <row r="37" spans="7:16" ht="15.75" thickBot="1">
      <c r="G37" s="70"/>
      <c r="H37" s="54"/>
      <c r="I37" s="54"/>
      <c r="J37" s="54"/>
      <c r="K37" s="54"/>
      <c r="L37" s="54"/>
      <c r="M37" s="54"/>
      <c r="N37" s="54"/>
      <c r="O37" s="54"/>
      <c r="P37" s="71"/>
    </row>
    <row r="38" spans="7:16" ht="15.75" thickBot="1">
      <c r="G38" s="70"/>
      <c r="H38" s="214" t="s">
        <v>503</v>
      </c>
      <c r="I38" s="214"/>
      <c r="J38" s="215">
        <f>(P10*P11*P12/P14)-1</f>
        <v>0.24995408005141928</v>
      </c>
      <c r="K38" s="215"/>
      <c r="L38" s="216" t="s">
        <v>504</v>
      </c>
      <c r="M38" s="216"/>
      <c r="N38" s="67" t="s">
        <v>505</v>
      </c>
      <c r="O38" s="67" t="s">
        <v>506</v>
      </c>
      <c r="P38" s="67" t="s">
        <v>507</v>
      </c>
    </row>
    <row r="39" spans="7:16" ht="15.75" thickBot="1">
      <c r="G39" s="70"/>
      <c r="H39" s="214"/>
      <c r="I39" s="214"/>
      <c r="J39" s="215"/>
      <c r="K39" s="215"/>
      <c r="L39" s="216"/>
      <c r="M39" s="216"/>
      <c r="N39" s="68">
        <v>0.20760000000000001</v>
      </c>
      <c r="O39" s="68">
        <v>0.24179999999999999</v>
      </c>
      <c r="P39" s="68">
        <v>0.26440000000000002</v>
      </c>
    </row>
    <row r="40" spans="7:16" ht="15.75" thickBot="1">
      <c r="G40" s="70"/>
      <c r="H40" s="54"/>
      <c r="I40" s="54"/>
      <c r="J40" s="54"/>
      <c r="K40" s="54"/>
      <c r="L40" s="54"/>
      <c r="M40" s="54"/>
      <c r="N40" s="54"/>
      <c r="O40" s="54"/>
      <c r="P40" s="71"/>
    </row>
    <row r="41" spans="7:16" ht="15.75" thickBot="1">
      <c r="G41" s="206" t="s">
        <v>508</v>
      </c>
      <c r="H41" s="207"/>
      <c r="I41" s="207"/>
      <c r="J41" s="207"/>
      <c r="K41" s="207"/>
      <c r="L41" s="207"/>
      <c r="M41" s="207"/>
      <c r="N41" s="207"/>
      <c r="O41" s="207"/>
      <c r="P41" s="208"/>
    </row>
    <row r="42" spans="7:16" ht="15.75" thickBot="1">
      <c r="G42" s="206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7:16">
      <c r="G43" s="206"/>
      <c r="H43" s="207"/>
      <c r="I43" s="207"/>
      <c r="J43" s="207"/>
      <c r="K43" s="207"/>
      <c r="L43" s="207"/>
      <c r="M43" s="207"/>
      <c r="N43" s="207"/>
      <c r="O43" s="207"/>
      <c r="P43" s="208"/>
    </row>
    <row r="44" spans="7:16">
      <c r="G44" s="228" t="s">
        <v>509</v>
      </c>
      <c r="H44" s="229"/>
      <c r="I44" s="229"/>
      <c r="J44" s="229"/>
      <c r="K44" s="229"/>
      <c r="L44" s="229"/>
      <c r="M44" s="229"/>
      <c r="N44" s="229"/>
      <c r="O44" s="229"/>
      <c r="P44" s="230"/>
    </row>
    <row r="45" spans="7:16">
      <c r="G45" s="231"/>
      <c r="H45" s="232"/>
      <c r="I45" s="232"/>
      <c r="J45" s="232"/>
      <c r="K45" s="232"/>
      <c r="L45" s="232"/>
      <c r="M45" s="232"/>
      <c r="N45" s="232"/>
      <c r="O45" s="232"/>
      <c r="P45" s="233"/>
    </row>
    <row r="46" spans="7:16">
      <c r="G46" s="231"/>
      <c r="H46" s="232"/>
      <c r="I46" s="232"/>
      <c r="J46" s="232"/>
      <c r="K46" s="232"/>
      <c r="L46" s="232"/>
      <c r="M46" s="232"/>
      <c r="N46" s="232"/>
      <c r="O46" s="232"/>
      <c r="P46" s="233"/>
    </row>
    <row r="47" spans="7:16">
      <c r="G47" s="231"/>
      <c r="H47" s="232"/>
      <c r="I47" s="232"/>
      <c r="J47" s="232"/>
      <c r="K47" s="232"/>
      <c r="L47" s="232"/>
      <c r="M47" s="232"/>
      <c r="N47" s="232"/>
      <c r="O47" s="232"/>
      <c r="P47" s="233"/>
    </row>
    <row r="48" spans="7:16">
      <c r="G48" s="231"/>
      <c r="H48" s="232"/>
      <c r="I48" s="232"/>
      <c r="J48" s="232"/>
      <c r="K48" s="232"/>
      <c r="L48" s="232"/>
      <c r="M48" s="232"/>
      <c r="N48" s="232"/>
      <c r="O48" s="232"/>
      <c r="P48" s="233"/>
    </row>
    <row r="49" spans="7:16">
      <c r="G49" s="231"/>
      <c r="H49" s="232"/>
      <c r="I49" s="232"/>
      <c r="J49" s="232"/>
      <c r="K49" s="232"/>
      <c r="L49" s="232"/>
      <c r="M49" s="232"/>
      <c r="N49" s="232"/>
      <c r="O49" s="232"/>
      <c r="P49" s="233"/>
    </row>
    <row r="50" spans="7:16">
      <c r="G50" s="231"/>
      <c r="H50" s="232"/>
      <c r="I50" s="232"/>
      <c r="J50" s="232"/>
      <c r="K50" s="232"/>
      <c r="L50" s="232"/>
      <c r="M50" s="232"/>
      <c r="N50" s="232"/>
      <c r="O50" s="232"/>
      <c r="P50" s="233"/>
    </row>
    <row r="51" spans="7:16" ht="33.6" customHeight="1">
      <c r="G51" s="234"/>
      <c r="H51" s="235"/>
      <c r="I51" s="235"/>
      <c r="J51" s="235"/>
      <c r="K51" s="235"/>
      <c r="L51" s="235"/>
      <c r="M51" s="235"/>
      <c r="N51" s="235"/>
      <c r="O51" s="235"/>
      <c r="P51" s="236"/>
    </row>
    <row r="52" spans="7:16">
      <c r="G52" s="174"/>
      <c r="H52" s="175"/>
      <c r="I52" s="175"/>
      <c r="J52" s="175"/>
      <c r="K52" s="175"/>
      <c r="L52" s="175"/>
      <c r="M52" s="175"/>
      <c r="N52" s="175"/>
      <c r="O52" s="175"/>
      <c r="P52" s="176"/>
    </row>
    <row r="53" spans="7:16">
      <c r="G53" s="75"/>
      <c r="H53" s="69"/>
      <c r="I53" s="69"/>
      <c r="J53" s="69"/>
      <c r="K53" s="69"/>
      <c r="L53" s="69"/>
      <c r="M53" s="69"/>
      <c r="N53" s="69"/>
      <c r="O53" s="69"/>
      <c r="P53" s="76"/>
    </row>
    <row r="54" spans="7:16">
      <c r="G54" s="70"/>
      <c r="H54" s="54"/>
      <c r="I54" s="177"/>
      <c r="J54" s="177"/>
      <c r="K54" s="177"/>
      <c r="L54" s="177"/>
      <c r="M54" s="177"/>
      <c r="N54" s="177"/>
      <c r="O54" s="54"/>
      <c r="P54" s="71"/>
    </row>
    <row r="55" spans="7:16">
      <c r="G55" s="222" t="s">
        <v>510</v>
      </c>
      <c r="H55" s="223"/>
      <c r="I55" s="223"/>
      <c r="J55" s="223"/>
      <c r="K55" s="223"/>
      <c r="L55" s="223"/>
      <c r="M55" s="223"/>
      <c r="N55" s="223"/>
      <c r="O55" s="223"/>
      <c r="P55" s="224"/>
    </row>
    <row r="56" spans="7:16">
      <c r="G56" s="222" t="s">
        <v>511</v>
      </c>
      <c r="H56" s="223"/>
      <c r="I56" s="223"/>
      <c r="J56" s="223"/>
      <c r="K56" s="223"/>
      <c r="L56" s="223"/>
      <c r="M56" s="223"/>
      <c r="N56" s="223"/>
      <c r="O56" s="223"/>
      <c r="P56" s="224"/>
    </row>
    <row r="57" spans="7:16">
      <c r="G57" s="222" t="s">
        <v>512</v>
      </c>
      <c r="H57" s="223"/>
      <c r="I57" s="223"/>
      <c r="J57" s="223"/>
      <c r="K57" s="223"/>
      <c r="L57" s="223"/>
      <c r="M57" s="223"/>
      <c r="N57" s="223"/>
      <c r="O57" s="223"/>
      <c r="P57" s="224"/>
    </row>
    <row r="58" spans="7:16">
      <c r="G58" s="225" t="s">
        <v>513</v>
      </c>
      <c r="H58" s="226"/>
      <c r="I58" s="226"/>
      <c r="J58" s="226"/>
      <c r="K58" s="226"/>
      <c r="L58" s="226"/>
      <c r="M58" s="226"/>
      <c r="N58" s="226"/>
      <c r="O58" s="226"/>
      <c r="P58" s="227"/>
    </row>
  </sheetData>
  <mergeCells count="16">
    <mergeCell ref="G56:P56"/>
    <mergeCell ref="G57:P57"/>
    <mergeCell ref="G58:P58"/>
    <mergeCell ref="G55:P55"/>
    <mergeCell ref="G44:P51"/>
    <mergeCell ref="G2:P2"/>
    <mergeCell ref="G3:N3"/>
    <mergeCell ref="G4:N4"/>
    <mergeCell ref="G5:L5"/>
    <mergeCell ref="M5:N5"/>
    <mergeCell ref="G41:P43"/>
    <mergeCell ref="G29:P29"/>
    <mergeCell ref="G34:H34"/>
    <mergeCell ref="H38:I39"/>
    <mergeCell ref="J38:K39"/>
    <mergeCell ref="L38:M3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U470"/>
  <sheetViews>
    <sheetView topLeftCell="A268" zoomScaleNormal="100" workbookViewId="0">
      <selection activeCell="D7" sqref="D7:J7"/>
    </sheetView>
  </sheetViews>
  <sheetFormatPr defaultRowHeight="15"/>
  <cols>
    <col min="4" max="4" width="9" style="96" bestFit="1" customWidth="1"/>
    <col min="5" max="5" width="8.85546875" style="96"/>
    <col min="6" max="6" width="13.28515625" style="96" bestFit="1" customWidth="1"/>
    <col min="7" max="7" width="51" style="110" bestFit="1" customWidth="1"/>
    <col min="8" max="8" width="8.85546875" style="96"/>
    <col min="9" max="9" width="11.7109375" style="96" customWidth="1"/>
    <col min="10" max="10" width="13.28515625" style="104" bestFit="1" customWidth="1"/>
    <col min="11" max="11" width="13.42578125" style="96" bestFit="1" customWidth="1"/>
    <col min="12" max="12" width="20.5703125" style="96" customWidth="1"/>
    <col min="14" max="16" width="12.5703125" bestFit="1" customWidth="1"/>
  </cols>
  <sheetData>
    <row r="3" spans="4:21" ht="28.9" customHeight="1">
      <c r="D3" s="240" t="s">
        <v>0</v>
      </c>
      <c r="E3" s="241"/>
      <c r="F3" s="241"/>
      <c r="G3" s="241"/>
      <c r="H3" s="241"/>
      <c r="I3" s="241"/>
      <c r="J3" s="241"/>
      <c r="K3" s="241"/>
      <c r="L3" s="242"/>
    </row>
    <row r="4" spans="4:21">
      <c r="D4" s="255" t="s">
        <v>211</v>
      </c>
      <c r="E4" s="255"/>
      <c r="F4" s="255"/>
      <c r="G4" s="255"/>
      <c r="H4" s="255"/>
      <c r="I4" s="255"/>
      <c r="J4" s="255"/>
      <c r="K4" s="255"/>
      <c r="L4" s="255"/>
    </row>
    <row r="5" spans="4:21">
      <c r="D5" s="256" t="s">
        <v>212</v>
      </c>
      <c r="E5" s="255"/>
      <c r="F5" s="255"/>
      <c r="G5" s="255"/>
      <c r="H5" s="255"/>
      <c r="I5" s="255"/>
      <c r="J5" s="255"/>
      <c r="K5" s="255"/>
      <c r="L5" s="255"/>
    </row>
    <row r="6" spans="4:21">
      <c r="D6" s="255" t="s">
        <v>608</v>
      </c>
      <c r="E6" s="255"/>
      <c r="F6" s="255"/>
      <c r="G6" s="255"/>
      <c r="H6" s="255"/>
      <c r="I6" s="255"/>
      <c r="J6" s="255"/>
      <c r="K6" s="255"/>
      <c r="L6" s="255"/>
      <c r="O6" s="37"/>
    </row>
    <row r="7" spans="4:21">
      <c r="D7" s="259" t="s">
        <v>129</v>
      </c>
      <c r="E7" s="259"/>
      <c r="F7" s="259"/>
      <c r="G7" s="259"/>
      <c r="H7" s="259"/>
      <c r="I7" s="259"/>
      <c r="J7" s="259"/>
      <c r="K7" s="258">
        <v>0.25</v>
      </c>
      <c r="L7" s="258"/>
      <c r="O7" s="37"/>
    </row>
    <row r="8" spans="4:21" ht="38.25">
      <c r="D8" s="8" t="s">
        <v>1</v>
      </c>
      <c r="E8" s="8" t="s">
        <v>2</v>
      </c>
      <c r="F8" s="8" t="s">
        <v>3</v>
      </c>
      <c r="G8" s="8" t="s">
        <v>4</v>
      </c>
      <c r="H8" s="8" t="s">
        <v>5</v>
      </c>
      <c r="I8" s="9" t="s">
        <v>6</v>
      </c>
      <c r="J8" s="10" t="s">
        <v>7</v>
      </c>
      <c r="K8" s="9" t="s">
        <v>8</v>
      </c>
      <c r="L8" s="8" t="s">
        <v>9</v>
      </c>
      <c r="N8" s="37"/>
      <c r="O8" s="37"/>
      <c r="P8" s="37"/>
    </row>
    <row r="9" spans="4:21">
      <c r="D9" s="257" t="s">
        <v>444</v>
      </c>
      <c r="E9" s="257"/>
      <c r="F9" s="257"/>
      <c r="G9" s="257"/>
      <c r="H9" s="257"/>
      <c r="I9" s="257"/>
      <c r="J9" s="257"/>
      <c r="K9" s="257"/>
      <c r="L9" s="257"/>
      <c r="O9" s="37"/>
    </row>
    <row r="10" spans="4:21" ht="15.6" customHeight="1">
      <c r="D10" s="81">
        <v>1</v>
      </c>
      <c r="E10" s="243"/>
      <c r="F10" s="244"/>
      <c r="G10" s="82" t="s">
        <v>15</v>
      </c>
      <c r="H10" s="243"/>
      <c r="I10" s="245"/>
      <c r="J10" s="245"/>
      <c r="K10" s="245"/>
      <c r="L10" s="244"/>
      <c r="N10" s="37"/>
      <c r="O10" s="37"/>
    </row>
    <row r="11" spans="4:21" ht="25.5">
      <c r="D11" s="11" t="s">
        <v>14</v>
      </c>
      <c r="E11" s="11" t="s">
        <v>10</v>
      </c>
      <c r="F11" s="11">
        <v>97644</v>
      </c>
      <c r="G11" s="12" t="s">
        <v>12</v>
      </c>
      <c r="H11" s="11" t="s">
        <v>13</v>
      </c>
      <c r="I11" s="13">
        <v>40.32</v>
      </c>
      <c r="J11" s="14">
        <v>6.22</v>
      </c>
      <c r="K11" s="14">
        <f>J11*(1+$K$7)</f>
        <v>7.7749999999999995</v>
      </c>
      <c r="L11" s="14">
        <f>I11*K11</f>
        <v>313.488</v>
      </c>
      <c r="N11" s="37"/>
      <c r="O11" s="37"/>
    </row>
    <row r="12" spans="4:21" ht="25.5">
      <c r="D12" s="11" t="s">
        <v>16</v>
      </c>
      <c r="E12" s="11" t="s">
        <v>10</v>
      </c>
      <c r="F12" s="11">
        <v>97645</v>
      </c>
      <c r="G12" s="12" t="s">
        <v>18</v>
      </c>
      <c r="H12" s="11" t="s">
        <v>13</v>
      </c>
      <c r="I12" s="13">
        <v>36</v>
      </c>
      <c r="J12" s="14">
        <v>25.78</v>
      </c>
      <c r="K12" s="14">
        <f t="shared" ref="K12:K13" si="0">J12*(1+$K$7)</f>
        <v>32.225000000000001</v>
      </c>
      <c r="L12" s="14">
        <f t="shared" ref="L12:L13" si="1">I12*K12</f>
        <v>1160.1000000000001</v>
      </c>
      <c r="N12" s="37"/>
      <c r="O12" s="37"/>
    </row>
    <row r="13" spans="4:21" ht="39">
      <c r="D13" s="11" t="s">
        <v>19</v>
      </c>
      <c r="E13" s="11" t="s">
        <v>10</v>
      </c>
      <c r="F13" s="11">
        <v>97624</v>
      </c>
      <c r="G13" s="105" t="s">
        <v>58</v>
      </c>
      <c r="H13" s="11" t="s">
        <v>20</v>
      </c>
      <c r="I13" s="13">
        <v>23.27</v>
      </c>
      <c r="J13" s="14">
        <v>69.959999999999994</v>
      </c>
      <c r="K13" s="14">
        <f t="shared" si="0"/>
        <v>87.449999999999989</v>
      </c>
      <c r="L13" s="14">
        <f t="shared" si="1"/>
        <v>2034.9614999999997</v>
      </c>
      <c r="N13" s="37"/>
      <c r="O13" s="37"/>
    </row>
    <row r="14" spans="4:21">
      <c r="D14" s="246" t="s">
        <v>130</v>
      </c>
      <c r="E14" s="247"/>
      <c r="F14" s="247"/>
      <c r="G14" s="247"/>
      <c r="H14" s="247"/>
      <c r="I14" s="247"/>
      <c r="J14" s="247"/>
      <c r="K14" s="248"/>
      <c r="L14" s="15">
        <f>SUM(L11:L13)</f>
        <v>3508.5495000000001</v>
      </c>
      <c r="N14" s="37"/>
      <c r="O14" s="37"/>
    </row>
    <row r="15" spans="4:21">
      <c r="D15" s="81">
        <v>2</v>
      </c>
      <c r="E15" s="243"/>
      <c r="F15" s="244"/>
      <c r="G15" s="82" t="s">
        <v>61</v>
      </c>
      <c r="H15" s="243"/>
      <c r="I15" s="245"/>
      <c r="J15" s="245"/>
      <c r="K15" s="245"/>
      <c r="L15" s="244"/>
      <c r="N15" s="37"/>
      <c r="O15" s="37"/>
    </row>
    <row r="16" spans="4:21" ht="76.5">
      <c r="D16" s="11" t="s">
        <v>62</v>
      </c>
      <c r="E16" s="11" t="s">
        <v>10</v>
      </c>
      <c r="F16" s="11">
        <v>87507</v>
      </c>
      <c r="G16" s="12" t="s">
        <v>441</v>
      </c>
      <c r="H16" s="11" t="s">
        <v>13</v>
      </c>
      <c r="I16" s="13">
        <v>130.26</v>
      </c>
      <c r="J16" s="14">
        <v>73.88</v>
      </c>
      <c r="K16" s="14">
        <f>J16*(1+$K$7)</f>
        <v>92.35</v>
      </c>
      <c r="L16" s="14">
        <f t="shared" ref="L16" si="2">I16*K16</f>
        <v>12029.510999999999</v>
      </c>
      <c r="M16" s="29"/>
      <c r="N16" s="38"/>
      <c r="O16" s="38"/>
      <c r="P16" s="30"/>
      <c r="Q16" s="30"/>
      <c r="R16" s="30"/>
      <c r="S16" s="30"/>
      <c r="T16" s="30"/>
      <c r="U16" s="28"/>
    </row>
    <row r="17" spans="4:15">
      <c r="D17" s="246" t="s">
        <v>130</v>
      </c>
      <c r="E17" s="247"/>
      <c r="F17" s="247"/>
      <c r="G17" s="247"/>
      <c r="H17" s="247"/>
      <c r="I17" s="247"/>
      <c r="J17" s="247"/>
      <c r="K17" s="248"/>
      <c r="L17" s="15">
        <f>SUM(L16)</f>
        <v>12029.510999999999</v>
      </c>
      <c r="N17" s="37"/>
      <c r="O17" s="37"/>
    </row>
    <row r="18" spans="4:15">
      <c r="D18" s="81">
        <v>3</v>
      </c>
      <c r="E18" s="243"/>
      <c r="F18" s="244"/>
      <c r="G18" s="82" t="s">
        <v>533</v>
      </c>
      <c r="H18" s="243"/>
      <c r="I18" s="245"/>
      <c r="J18" s="245"/>
      <c r="K18" s="245"/>
      <c r="L18" s="244"/>
      <c r="N18" s="37"/>
      <c r="O18" s="37"/>
    </row>
    <row r="19" spans="4:15" ht="63.75">
      <c r="D19" s="11" t="s">
        <v>21</v>
      </c>
      <c r="E19" s="11" t="s">
        <v>289</v>
      </c>
      <c r="F19" s="11" t="s">
        <v>526</v>
      </c>
      <c r="G19" s="12" t="s">
        <v>527</v>
      </c>
      <c r="H19" s="11" t="s">
        <v>13</v>
      </c>
      <c r="I19" s="13">
        <v>7.2</v>
      </c>
      <c r="J19" s="14">
        <v>396.27</v>
      </c>
      <c r="K19" s="14">
        <f t="shared" ref="K19:K20" si="3">J19*(1+$K$7)</f>
        <v>495.33749999999998</v>
      </c>
      <c r="L19" s="14">
        <f>I19*K19</f>
        <v>3566.43</v>
      </c>
      <c r="N19" s="37"/>
      <c r="O19" s="37"/>
    </row>
    <row r="20" spans="4:15" ht="63.75">
      <c r="D20" s="11" t="s">
        <v>23</v>
      </c>
      <c r="E20" s="11" t="s">
        <v>10</v>
      </c>
      <c r="F20" s="11">
        <v>94573</v>
      </c>
      <c r="G20" s="12" t="s">
        <v>528</v>
      </c>
      <c r="H20" s="11" t="s">
        <v>13</v>
      </c>
      <c r="I20" s="13">
        <v>28.8</v>
      </c>
      <c r="J20" s="14">
        <v>297.31</v>
      </c>
      <c r="K20" s="14">
        <f t="shared" si="3"/>
        <v>371.63749999999999</v>
      </c>
      <c r="L20" s="14">
        <f t="shared" ref="L20" si="4">I20*K20</f>
        <v>10703.16</v>
      </c>
      <c r="N20" s="37"/>
    </row>
    <row r="21" spans="4:15" ht="63.75">
      <c r="D21" s="11" t="s">
        <v>24</v>
      </c>
      <c r="E21" s="11" t="s">
        <v>289</v>
      </c>
      <c r="F21" s="11" t="s">
        <v>400</v>
      </c>
      <c r="G21" s="12" t="s">
        <v>530</v>
      </c>
      <c r="H21" s="11" t="s">
        <v>13</v>
      </c>
      <c r="I21" s="13">
        <v>8.4</v>
      </c>
      <c r="J21" s="14">
        <v>303.69</v>
      </c>
      <c r="K21" s="14">
        <f t="shared" ref="K21:K24" si="5">J21*(1+$K$7)</f>
        <v>379.61250000000001</v>
      </c>
      <c r="L21" s="14">
        <f t="shared" ref="L21:L24" si="6">I21*K21</f>
        <v>3188.7450000000003</v>
      </c>
      <c r="N21" s="37"/>
    </row>
    <row r="22" spans="4:15" ht="38.25">
      <c r="D22" s="11" t="s">
        <v>25</v>
      </c>
      <c r="E22" s="11" t="s">
        <v>10</v>
      </c>
      <c r="F22" s="11">
        <v>91338</v>
      </c>
      <c r="G22" s="12" t="s">
        <v>529</v>
      </c>
      <c r="H22" s="11" t="s">
        <v>13</v>
      </c>
      <c r="I22" s="13">
        <v>8.4</v>
      </c>
      <c r="J22" s="14">
        <v>759.06</v>
      </c>
      <c r="K22" s="14">
        <f t="shared" si="5"/>
        <v>948.82499999999993</v>
      </c>
      <c r="L22" s="14">
        <f t="shared" si="6"/>
        <v>7970.13</v>
      </c>
      <c r="N22" s="37"/>
    </row>
    <row r="23" spans="4:15" ht="51">
      <c r="D23" s="11" t="s">
        <v>26</v>
      </c>
      <c r="E23" s="11" t="s">
        <v>10</v>
      </c>
      <c r="F23" s="11">
        <v>100702</v>
      </c>
      <c r="G23" s="12" t="s">
        <v>531</v>
      </c>
      <c r="H23" s="11" t="s">
        <v>13</v>
      </c>
      <c r="I23" s="13">
        <v>3.15</v>
      </c>
      <c r="J23" s="14">
        <v>459.7</v>
      </c>
      <c r="K23" s="14">
        <f t="shared" si="5"/>
        <v>574.625</v>
      </c>
      <c r="L23" s="14">
        <f t="shared" si="6"/>
        <v>1810.0687499999999</v>
      </c>
      <c r="N23" s="37"/>
    </row>
    <row r="24" spans="4:15" ht="51">
      <c r="D24" s="11" t="s">
        <v>27</v>
      </c>
      <c r="E24" s="11" t="s">
        <v>10</v>
      </c>
      <c r="F24" s="11">
        <v>94805</v>
      </c>
      <c r="G24" s="12" t="s">
        <v>532</v>
      </c>
      <c r="H24" s="11" t="s">
        <v>13</v>
      </c>
      <c r="I24" s="13">
        <v>15.12</v>
      </c>
      <c r="J24" s="14">
        <v>893.84</v>
      </c>
      <c r="K24" s="14">
        <f t="shared" si="5"/>
        <v>1117.3</v>
      </c>
      <c r="L24" s="14">
        <f t="shared" si="6"/>
        <v>16893.575999999997</v>
      </c>
      <c r="N24" s="37"/>
    </row>
    <row r="25" spans="4:15">
      <c r="D25" s="246" t="s">
        <v>130</v>
      </c>
      <c r="E25" s="247"/>
      <c r="F25" s="247"/>
      <c r="G25" s="247"/>
      <c r="H25" s="247"/>
      <c r="I25" s="247"/>
      <c r="J25" s="247"/>
      <c r="K25" s="248"/>
      <c r="L25" s="15">
        <f>SUM(L19:L24)</f>
        <v>44132.109749999996</v>
      </c>
      <c r="N25" s="37"/>
    </row>
    <row r="26" spans="4:15">
      <c r="D26" s="81">
        <v>4</v>
      </c>
      <c r="E26" s="243"/>
      <c r="F26" s="244"/>
      <c r="G26" s="82" t="s">
        <v>60</v>
      </c>
      <c r="H26" s="243"/>
      <c r="I26" s="245"/>
      <c r="J26" s="245"/>
      <c r="K26" s="245"/>
      <c r="L26" s="244"/>
      <c r="N26" s="37"/>
    </row>
    <row r="27" spans="4:15" ht="38.25">
      <c r="D27" s="11" t="s">
        <v>28</v>
      </c>
      <c r="E27" s="11" t="s">
        <v>10</v>
      </c>
      <c r="F27" s="11">
        <v>94319</v>
      </c>
      <c r="G27" s="12" t="s">
        <v>31</v>
      </c>
      <c r="H27" s="11" t="s">
        <v>20</v>
      </c>
      <c r="I27" s="13">
        <v>3.56</v>
      </c>
      <c r="J27" s="16">
        <v>34.659999999999997</v>
      </c>
      <c r="K27" s="14">
        <f t="shared" ref="K27" si="7">J27*(1+$K$7)</f>
        <v>43.324999999999996</v>
      </c>
      <c r="L27" s="14">
        <f t="shared" ref="L27" si="8">I27*K27</f>
        <v>154.23699999999999</v>
      </c>
      <c r="N27" s="37"/>
    </row>
    <row r="28" spans="4:15">
      <c r="D28" s="246" t="s">
        <v>130</v>
      </c>
      <c r="E28" s="247"/>
      <c r="F28" s="247"/>
      <c r="G28" s="247"/>
      <c r="H28" s="247"/>
      <c r="I28" s="247"/>
      <c r="J28" s="247"/>
      <c r="K28" s="248"/>
      <c r="L28" s="15">
        <f>SUM(L27)</f>
        <v>154.23699999999999</v>
      </c>
    </row>
    <row r="29" spans="4:15">
      <c r="D29" s="81">
        <v>5</v>
      </c>
      <c r="E29" s="243"/>
      <c r="F29" s="244"/>
      <c r="G29" s="82" t="s">
        <v>32</v>
      </c>
      <c r="H29" s="243" t="s">
        <v>578</v>
      </c>
      <c r="I29" s="245"/>
      <c r="J29" s="245"/>
      <c r="K29" s="245"/>
      <c r="L29" s="244"/>
    </row>
    <row r="30" spans="4:15" ht="63.75">
      <c r="D30" s="11" t="s">
        <v>59</v>
      </c>
      <c r="E30" s="11" t="s">
        <v>10</v>
      </c>
      <c r="F30" s="11">
        <v>87894</v>
      </c>
      <c r="G30" s="12" t="s">
        <v>35</v>
      </c>
      <c r="H30" s="11" t="s">
        <v>13</v>
      </c>
      <c r="I30" s="13">
        <v>260.52</v>
      </c>
      <c r="J30" s="16">
        <v>4.9400000000000004</v>
      </c>
      <c r="K30" s="14">
        <f t="shared" ref="K30:K33" si="9">J30*(1+$K$7)</f>
        <v>6.1750000000000007</v>
      </c>
      <c r="L30" s="14">
        <f>I30*K30</f>
        <v>1608.711</v>
      </c>
    </row>
    <row r="31" spans="4:15" ht="76.5">
      <c r="D31" s="11" t="s">
        <v>125</v>
      </c>
      <c r="E31" s="11" t="s">
        <v>10</v>
      </c>
      <c r="F31" s="11">
        <v>87549</v>
      </c>
      <c r="G31" s="12" t="s">
        <v>37</v>
      </c>
      <c r="H31" s="11" t="s">
        <v>13</v>
      </c>
      <c r="I31" s="13">
        <v>156.09</v>
      </c>
      <c r="J31" s="16">
        <v>16.36</v>
      </c>
      <c r="K31" s="14">
        <f t="shared" si="9"/>
        <v>20.45</v>
      </c>
      <c r="L31" s="14">
        <f t="shared" ref="L31:L33" si="10">I31*K31</f>
        <v>3192.0405000000001</v>
      </c>
    </row>
    <row r="32" spans="4:15" ht="63.75">
      <c r="D32" s="11" t="s">
        <v>553</v>
      </c>
      <c r="E32" s="11" t="s">
        <v>10</v>
      </c>
      <c r="F32" s="11">
        <v>87264</v>
      </c>
      <c r="G32" s="12" t="s">
        <v>41</v>
      </c>
      <c r="H32" s="11" t="s">
        <v>13</v>
      </c>
      <c r="I32" s="18">
        <v>271.5</v>
      </c>
      <c r="J32" s="16">
        <v>54.15</v>
      </c>
      <c r="K32" s="14">
        <f t="shared" si="9"/>
        <v>67.6875</v>
      </c>
      <c r="L32" s="14">
        <f t="shared" si="10"/>
        <v>18377.15625</v>
      </c>
      <c r="N32" s="37"/>
    </row>
    <row r="33" spans="4:12" ht="63.75">
      <c r="D33" s="11" t="s">
        <v>554</v>
      </c>
      <c r="E33" s="11" t="s">
        <v>10</v>
      </c>
      <c r="F33" s="11">
        <v>87529</v>
      </c>
      <c r="G33" s="12" t="s">
        <v>44</v>
      </c>
      <c r="H33" s="11" t="s">
        <v>13</v>
      </c>
      <c r="I33" s="18">
        <v>104.52</v>
      </c>
      <c r="J33" s="16">
        <v>26.97</v>
      </c>
      <c r="K33" s="14">
        <f t="shared" si="9"/>
        <v>33.712499999999999</v>
      </c>
      <c r="L33" s="14">
        <f t="shared" si="10"/>
        <v>3523.6304999999998</v>
      </c>
    </row>
    <row r="34" spans="4:12">
      <c r="D34" s="246" t="s">
        <v>130</v>
      </c>
      <c r="E34" s="247"/>
      <c r="F34" s="247"/>
      <c r="G34" s="247"/>
      <c r="H34" s="247"/>
      <c r="I34" s="247"/>
      <c r="J34" s="247"/>
      <c r="K34" s="248"/>
      <c r="L34" s="15">
        <f>SUM(L30:L33)</f>
        <v>26701.538249999998</v>
      </c>
    </row>
    <row r="35" spans="4:12">
      <c r="D35" s="81">
        <v>6</v>
      </c>
      <c r="E35" s="243"/>
      <c r="F35" s="244"/>
      <c r="G35" s="82" t="s">
        <v>45</v>
      </c>
      <c r="H35" s="243"/>
      <c r="I35" s="245"/>
      <c r="J35" s="245"/>
      <c r="K35" s="245"/>
      <c r="L35" s="244"/>
    </row>
    <row r="36" spans="4:12" ht="51">
      <c r="D36" s="17" t="s">
        <v>33</v>
      </c>
      <c r="E36" s="11" t="s">
        <v>10</v>
      </c>
      <c r="F36" s="11">
        <v>87700</v>
      </c>
      <c r="G36" s="12" t="s">
        <v>48</v>
      </c>
      <c r="H36" s="11" t="s">
        <v>13</v>
      </c>
      <c r="I36" s="18">
        <v>0.47</v>
      </c>
      <c r="J36" s="16">
        <v>38.700000000000003</v>
      </c>
      <c r="K36" s="14">
        <f t="shared" ref="K36:K37" si="11">J36*(1+$K$7)</f>
        <v>48.375</v>
      </c>
      <c r="L36" s="14">
        <f t="shared" ref="L36:L37" si="12">I36*K36</f>
        <v>22.736249999999998</v>
      </c>
    </row>
    <row r="37" spans="4:12" ht="51">
      <c r="D37" s="17" t="s">
        <v>38</v>
      </c>
      <c r="E37" s="11" t="s">
        <v>289</v>
      </c>
      <c r="F37" s="11" t="s">
        <v>591</v>
      </c>
      <c r="G37" s="187" t="s">
        <v>602</v>
      </c>
      <c r="H37" s="11" t="s">
        <v>13</v>
      </c>
      <c r="I37" s="18">
        <v>395</v>
      </c>
      <c r="J37" s="16">
        <v>79.819999999999993</v>
      </c>
      <c r="K37" s="14">
        <f t="shared" si="11"/>
        <v>99.774999999999991</v>
      </c>
      <c r="L37" s="14">
        <f t="shared" si="12"/>
        <v>39411.125</v>
      </c>
    </row>
    <row r="38" spans="4:12">
      <c r="D38" s="246" t="s">
        <v>130</v>
      </c>
      <c r="E38" s="247"/>
      <c r="F38" s="247"/>
      <c r="G38" s="247"/>
      <c r="H38" s="247"/>
      <c r="I38" s="247"/>
      <c r="J38" s="247"/>
      <c r="K38" s="248"/>
      <c r="L38" s="15">
        <f>SUM(L36:L37)</f>
        <v>39433.861250000002</v>
      </c>
    </row>
    <row r="39" spans="4:12">
      <c r="D39" s="81">
        <v>7</v>
      </c>
      <c r="E39" s="243"/>
      <c r="F39" s="244"/>
      <c r="G39" s="82" t="s">
        <v>50</v>
      </c>
      <c r="H39" s="243"/>
      <c r="I39" s="245"/>
      <c r="J39" s="245"/>
      <c r="K39" s="245"/>
      <c r="L39" s="244"/>
    </row>
    <row r="40" spans="4:12" ht="45">
      <c r="D40" s="17" t="s">
        <v>46</v>
      </c>
      <c r="E40" s="11" t="s">
        <v>289</v>
      </c>
      <c r="F40" s="11" t="s">
        <v>603</v>
      </c>
      <c r="G40" s="188" t="s">
        <v>604</v>
      </c>
      <c r="H40" s="11" t="s">
        <v>13</v>
      </c>
      <c r="I40" s="18">
        <v>241.46</v>
      </c>
      <c r="J40" s="16">
        <v>18.66</v>
      </c>
      <c r="K40" s="14">
        <f t="shared" ref="K40:K42" si="13">J40*(1+$K$7)</f>
        <v>23.324999999999999</v>
      </c>
      <c r="L40" s="14">
        <f t="shared" ref="L40:L42" si="14">I40*K40</f>
        <v>5632.0545000000002</v>
      </c>
    </row>
    <row r="41" spans="4:12" ht="25.5">
      <c r="D41" s="17" t="s">
        <v>49</v>
      </c>
      <c r="E41" s="11" t="s">
        <v>10</v>
      </c>
      <c r="F41" s="11">
        <v>88489</v>
      </c>
      <c r="G41" s="12" t="s">
        <v>53</v>
      </c>
      <c r="H41" s="11" t="s">
        <v>13</v>
      </c>
      <c r="I41" s="18">
        <v>789.68</v>
      </c>
      <c r="J41" s="16">
        <v>11.95</v>
      </c>
      <c r="K41" s="14">
        <f t="shared" si="13"/>
        <v>14.9375</v>
      </c>
      <c r="L41" s="14">
        <f t="shared" si="14"/>
        <v>11795.844999999999</v>
      </c>
    </row>
    <row r="42" spans="4:12" ht="63.75">
      <c r="D42" s="17" t="s">
        <v>102</v>
      </c>
      <c r="E42" s="11" t="s">
        <v>10</v>
      </c>
      <c r="F42" s="11">
        <v>100758</v>
      </c>
      <c r="G42" s="12" t="s">
        <v>514</v>
      </c>
      <c r="H42" s="11" t="s">
        <v>13</v>
      </c>
      <c r="I42" s="18">
        <v>16.8</v>
      </c>
      <c r="J42" s="16">
        <v>36.08</v>
      </c>
      <c r="K42" s="14">
        <f t="shared" si="13"/>
        <v>45.099999999999994</v>
      </c>
      <c r="L42" s="14">
        <f t="shared" si="14"/>
        <v>757.68</v>
      </c>
    </row>
    <row r="43" spans="4:12">
      <c r="D43" s="246" t="s">
        <v>130</v>
      </c>
      <c r="E43" s="247"/>
      <c r="F43" s="247"/>
      <c r="G43" s="247"/>
      <c r="H43" s="247"/>
      <c r="I43" s="247"/>
      <c r="J43" s="247"/>
      <c r="K43" s="248"/>
      <c r="L43" s="15">
        <f>SUM(L40:L42)</f>
        <v>18185.5795</v>
      </c>
    </row>
    <row r="44" spans="4:12">
      <c r="D44" s="81">
        <v>8</v>
      </c>
      <c r="E44" s="243"/>
      <c r="F44" s="244"/>
      <c r="G44" s="82" t="s">
        <v>121</v>
      </c>
      <c r="H44" s="243"/>
      <c r="I44" s="245"/>
      <c r="J44" s="245"/>
      <c r="K44" s="245"/>
      <c r="L44" s="244"/>
    </row>
    <row r="45" spans="4:12" ht="25.5">
      <c r="D45" s="17" t="s">
        <v>106</v>
      </c>
      <c r="E45" s="11" t="s">
        <v>289</v>
      </c>
      <c r="F45" s="11" t="s">
        <v>427</v>
      </c>
      <c r="G45" s="12" t="s">
        <v>428</v>
      </c>
      <c r="H45" s="11" t="s">
        <v>13</v>
      </c>
      <c r="I45" s="18">
        <v>9.3000000000000007</v>
      </c>
      <c r="J45" s="16">
        <v>249.51</v>
      </c>
      <c r="K45" s="14">
        <f t="shared" ref="K45:K46" si="15">J45*(1+$K$7)</f>
        <v>311.88749999999999</v>
      </c>
      <c r="L45" s="14">
        <f t="shared" ref="L45:L46" si="16">I45*K45</f>
        <v>2900.55375</v>
      </c>
    </row>
    <row r="46" spans="4:12" ht="38.25">
      <c r="D46" s="42" t="s">
        <v>124</v>
      </c>
      <c r="E46" s="11" t="s">
        <v>22</v>
      </c>
      <c r="F46" s="11">
        <v>4917</v>
      </c>
      <c r="G46" s="12" t="s">
        <v>29</v>
      </c>
      <c r="H46" s="11" t="s">
        <v>13</v>
      </c>
      <c r="I46" s="40">
        <v>4.32</v>
      </c>
      <c r="J46" s="16">
        <v>465.73</v>
      </c>
      <c r="K46" s="14">
        <f t="shared" si="15"/>
        <v>582.16250000000002</v>
      </c>
      <c r="L46" s="14">
        <f t="shared" si="16"/>
        <v>2514.9420000000005</v>
      </c>
    </row>
    <row r="47" spans="4:12">
      <c r="D47" s="246" t="s">
        <v>130</v>
      </c>
      <c r="E47" s="247"/>
      <c r="F47" s="247"/>
      <c r="G47" s="247"/>
      <c r="H47" s="247"/>
      <c r="I47" s="247"/>
      <c r="J47" s="247"/>
      <c r="K47" s="248"/>
      <c r="L47" s="15">
        <f>SUM(L45:L46)</f>
        <v>5415.49575</v>
      </c>
    </row>
    <row r="48" spans="4:12">
      <c r="D48" s="81">
        <v>9</v>
      </c>
      <c r="E48" s="243"/>
      <c r="F48" s="244"/>
      <c r="G48" s="82" t="s">
        <v>63</v>
      </c>
      <c r="H48" s="243"/>
      <c r="I48" s="245"/>
      <c r="J48" s="245"/>
      <c r="K48" s="245"/>
      <c r="L48" s="244"/>
    </row>
    <row r="49" spans="4:14" ht="25.5">
      <c r="D49" s="17" t="s">
        <v>108</v>
      </c>
      <c r="E49" s="11" t="s">
        <v>10</v>
      </c>
      <c r="F49" s="11">
        <v>99814</v>
      </c>
      <c r="G49" s="12" t="s">
        <v>55</v>
      </c>
      <c r="H49" s="11" t="s">
        <v>13</v>
      </c>
      <c r="I49" s="18">
        <v>413.43</v>
      </c>
      <c r="J49" s="16">
        <v>1.27</v>
      </c>
      <c r="K49" s="14">
        <f t="shared" ref="K49" si="17">J49*(1+$K$7)</f>
        <v>1.5874999999999999</v>
      </c>
      <c r="L49" s="14">
        <f t="shared" ref="L49" si="18">I49*K49</f>
        <v>656.32012499999996</v>
      </c>
    </row>
    <row r="50" spans="4:14">
      <c r="D50" s="246" t="s">
        <v>130</v>
      </c>
      <c r="E50" s="247"/>
      <c r="F50" s="247"/>
      <c r="G50" s="247"/>
      <c r="H50" s="247"/>
      <c r="I50" s="247"/>
      <c r="J50" s="247"/>
      <c r="K50" s="248"/>
      <c r="L50" s="15">
        <f>SUM(L49)</f>
        <v>656.32012499999996</v>
      </c>
    </row>
    <row r="51" spans="4:14" ht="37.9" customHeight="1">
      <c r="D51" s="249" t="s">
        <v>445</v>
      </c>
      <c r="E51" s="250"/>
      <c r="F51" s="250"/>
      <c r="G51" s="250"/>
      <c r="H51" s="250"/>
      <c r="I51" s="250"/>
      <c r="J51" s="250"/>
      <c r="K51" s="251"/>
      <c r="L51" s="89">
        <f>SUM(L14+L17+L25+L28+L34+L38+L43+L47+L50)</f>
        <v>150217.20212500001</v>
      </c>
    </row>
    <row r="52" spans="4:14">
      <c r="D52" s="237"/>
      <c r="E52" s="238"/>
      <c r="F52" s="238"/>
      <c r="G52" s="238"/>
      <c r="H52" s="238"/>
      <c r="I52" s="238"/>
      <c r="J52" s="238"/>
      <c r="K52" s="238"/>
      <c r="L52" s="239"/>
    </row>
    <row r="53" spans="4:14">
      <c r="D53" s="240" t="s">
        <v>65</v>
      </c>
      <c r="E53" s="241"/>
      <c r="F53" s="241"/>
      <c r="G53" s="241"/>
      <c r="H53" s="241"/>
      <c r="I53" s="241"/>
      <c r="J53" s="241"/>
      <c r="K53" s="241"/>
      <c r="L53" s="242"/>
    </row>
    <row r="54" spans="4:14">
      <c r="D54" s="81">
        <v>1</v>
      </c>
      <c r="E54" s="243"/>
      <c r="F54" s="244"/>
      <c r="G54" s="82" t="s">
        <v>15</v>
      </c>
      <c r="H54" s="243"/>
      <c r="I54" s="245"/>
      <c r="J54" s="245"/>
      <c r="K54" s="245"/>
      <c r="L54" s="244"/>
    </row>
    <row r="55" spans="4:14" ht="26.25">
      <c r="D55" s="17" t="s">
        <v>14</v>
      </c>
      <c r="E55" s="11" t="s">
        <v>10</v>
      </c>
      <c r="F55" s="11">
        <v>98524</v>
      </c>
      <c r="G55" s="105" t="s">
        <v>515</v>
      </c>
      <c r="H55" s="11" t="s">
        <v>13</v>
      </c>
      <c r="I55" s="18">
        <v>712</v>
      </c>
      <c r="J55" s="16">
        <v>2.37</v>
      </c>
      <c r="K55" s="14">
        <f t="shared" ref="K55:K56" si="19">J55*(1+$K$7)</f>
        <v>2.9625000000000004</v>
      </c>
      <c r="L55" s="14">
        <f t="shared" ref="L55:L56" si="20">I55*K55</f>
        <v>2109.3000000000002</v>
      </c>
      <c r="N55" s="37"/>
    </row>
    <row r="56" spans="4:14" ht="38.25">
      <c r="D56" s="17" t="s">
        <v>16</v>
      </c>
      <c r="E56" s="11" t="s">
        <v>10</v>
      </c>
      <c r="F56" s="11">
        <v>99059</v>
      </c>
      <c r="G56" s="12" t="s">
        <v>66</v>
      </c>
      <c r="H56" s="11" t="s">
        <v>67</v>
      </c>
      <c r="I56" s="18">
        <v>97.2</v>
      </c>
      <c r="J56" s="16">
        <v>60.46</v>
      </c>
      <c r="K56" s="14">
        <f t="shared" si="19"/>
        <v>75.575000000000003</v>
      </c>
      <c r="L56" s="14">
        <f t="shared" si="20"/>
        <v>7345.89</v>
      </c>
    </row>
    <row r="57" spans="4:14">
      <c r="D57" s="246" t="s">
        <v>130</v>
      </c>
      <c r="E57" s="247"/>
      <c r="F57" s="247"/>
      <c r="G57" s="247"/>
      <c r="H57" s="247"/>
      <c r="I57" s="247"/>
      <c r="J57" s="247"/>
      <c r="K57" s="248"/>
      <c r="L57" s="15">
        <f>SUM(L55:L56)</f>
        <v>9455.19</v>
      </c>
    </row>
    <row r="58" spans="4:14">
      <c r="D58" s="81">
        <v>2</v>
      </c>
      <c r="E58" s="243"/>
      <c r="F58" s="244"/>
      <c r="G58" s="82" t="s">
        <v>68</v>
      </c>
      <c r="H58" s="243"/>
      <c r="I58" s="245"/>
      <c r="J58" s="245"/>
      <c r="K58" s="245"/>
      <c r="L58" s="244"/>
    </row>
    <row r="59" spans="4:14" ht="51">
      <c r="D59" s="17" t="s">
        <v>62</v>
      </c>
      <c r="E59" s="11" t="s">
        <v>10</v>
      </c>
      <c r="F59" s="11">
        <v>100899</v>
      </c>
      <c r="G59" s="12" t="s">
        <v>516</v>
      </c>
      <c r="H59" s="11" t="s">
        <v>67</v>
      </c>
      <c r="I59" s="41">
        <v>404</v>
      </c>
      <c r="J59" s="16">
        <v>64.8</v>
      </c>
      <c r="K59" s="14">
        <f t="shared" ref="K59:K62" si="21">J59*(1+$K$7)</f>
        <v>81</v>
      </c>
      <c r="L59" s="14">
        <f t="shared" ref="L59:L62" si="22">I59*K59</f>
        <v>32724</v>
      </c>
    </row>
    <row r="60" spans="4:14" ht="38.25">
      <c r="D60" s="17" t="s">
        <v>69</v>
      </c>
      <c r="E60" s="11" t="s">
        <v>10</v>
      </c>
      <c r="F60" s="11">
        <v>92791</v>
      </c>
      <c r="G60" s="12" t="s">
        <v>73</v>
      </c>
      <c r="H60" s="11" t="s">
        <v>70</v>
      </c>
      <c r="I60" s="18">
        <v>237.98</v>
      </c>
      <c r="J60" s="16">
        <v>13.66</v>
      </c>
      <c r="K60" s="14">
        <f t="shared" si="21"/>
        <v>17.074999999999999</v>
      </c>
      <c r="L60" s="14">
        <f t="shared" si="22"/>
        <v>4063.5084999999995</v>
      </c>
    </row>
    <row r="61" spans="4:14" ht="38.25">
      <c r="D61" s="17" t="s">
        <v>71</v>
      </c>
      <c r="E61" s="11" t="s">
        <v>10</v>
      </c>
      <c r="F61" s="11">
        <v>92793</v>
      </c>
      <c r="G61" s="12" t="s">
        <v>75</v>
      </c>
      <c r="H61" s="11" t="s">
        <v>70</v>
      </c>
      <c r="I61" s="18">
        <v>590.85</v>
      </c>
      <c r="J61" s="16">
        <v>14.43</v>
      </c>
      <c r="K61" s="14">
        <f t="shared" si="21"/>
        <v>18.037500000000001</v>
      </c>
      <c r="L61" s="14">
        <f t="shared" si="22"/>
        <v>10657.456875000002</v>
      </c>
    </row>
    <row r="62" spans="4:14" ht="38.25">
      <c r="D62" s="17" t="s">
        <v>76</v>
      </c>
      <c r="E62" s="11" t="s">
        <v>10</v>
      </c>
      <c r="F62" s="11">
        <v>94963</v>
      </c>
      <c r="G62" s="12" t="s">
        <v>78</v>
      </c>
      <c r="H62" s="11" t="s">
        <v>20</v>
      </c>
      <c r="I62" s="18">
        <v>19.84</v>
      </c>
      <c r="J62" s="16">
        <v>336.6</v>
      </c>
      <c r="K62" s="14">
        <f t="shared" si="21"/>
        <v>420.75</v>
      </c>
      <c r="L62" s="14">
        <f t="shared" si="22"/>
        <v>8347.68</v>
      </c>
    </row>
    <row r="63" spans="4:14">
      <c r="D63" s="246" t="s">
        <v>130</v>
      </c>
      <c r="E63" s="247"/>
      <c r="F63" s="247"/>
      <c r="G63" s="247"/>
      <c r="H63" s="247"/>
      <c r="I63" s="247"/>
      <c r="J63" s="247"/>
      <c r="K63" s="248"/>
      <c r="L63" s="15">
        <f>SUM(L59:L62)</f>
        <v>55792.645375</v>
      </c>
    </row>
    <row r="64" spans="4:14">
      <c r="D64" s="81">
        <v>3</v>
      </c>
      <c r="E64" s="243"/>
      <c r="F64" s="244"/>
      <c r="G64" s="82" t="s">
        <v>79</v>
      </c>
      <c r="H64" s="243"/>
      <c r="I64" s="245"/>
      <c r="J64" s="245"/>
      <c r="K64" s="245"/>
      <c r="L64" s="244"/>
    </row>
    <row r="65" spans="4:12" ht="38.25">
      <c r="D65" s="17" t="s">
        <v>21</v>
      </c>
      <c r="E65" s="11" t="s">
        <v>10</v>
      </c>
      <c r="F65" s="11">
        <v>96523</v>
      </c>
      <c r="G65" s="12" t="s">
        <v>517</v>
      </c>
      <c r="H65" s="11" t="s">
        <v>20</v>
      </c>
      <c r="I65" s="18">
        <v>16.71</v>
      </c>
      <c r="J65" s="16">
        <v>66.42</v>
      </c>
      <c r="K65" s="14">
        <f t="shared" ref="K65:K71" si="23">J65*(1+$K$7)</f>
        <v>83.025000000000006</v>
      </c>
      <c r="L65" s="14">
        <f t="shared" ref="L65:L71" si="24">I65*K65</f>
        <v>1387.3477500000001</v>
      </c>
    </row>
    <row r="66" spans="4:12" ht="25.5">
      <c r="D66" s="17" t="s">
        <v>23</v>
      </c>
      <c r="E66" s="11" t="s">
        <v>10</v>
      </c>
      <c r="F66" s="11">
        <v>96616</v>
      </c>
      <c r="G66" s="12" t="s">
        <v>518</v>
      </c>
      <c r="H66" s="11" t="s">
        <v>20</v>
      </c>
      <c r="I66" s="18">
        <v>1.29</v>
      </c>
      <c r="J66" s="16">
        <v>484.38</v>
      </c>
      <c r="K66" s="14">
        <f t="shared" si="23"/>
        <v>605.47500000000002</v>
      </c>
      <c r="L66" s="14">
        <f t="shared" si="24"/>
        <v>781.06275000000005</v>
      </c>
    </row>
    <row r="67" spans="4:12" ht="25.5">
      <c r="D67" s="17" t="s">
        <v>24</v>
      </c>
      <c r="E67" s="11" t="s">
        <v>22</v>
      </c>
      <c r="F67" s="11">
        <v>1355</v>
      </c>
      <c r="G67" s="12" t="s">
        <v>80</v>
      </c>
      <c r="H67" s="11" t="s">
        <v>13</v>
      </c>
      <c r="I67" s="18">
        <v>102</v>
      </c>
      <c r="J67" s="16">
        <v>43.97</v>
      </c>
      <c r="K67" s="14">
        <f t="shared" si="23"/>
        <v>54.962499999999999</v>
      </c>
      <c r="L67" s="14">
        <f t="shared" si="24"/>
        <v>5606.1750000000002</v>
      </c>
    </row>
    <row r="68" spans="4:12" ht="38.25">
      <c r="D68" s="17" t="s">
        <v>25</v>
      </c>
      <c r="E68" s="11" t="s">
        <v>10</v>
      </c>
      <c r="F68" s="51">
        <v>92792</v>
      </c>
      <c r="G68" s="106" t="s">
        <v>439</v>
      </c>
      <c r="H68" s="11" t="s">
        <v>70</v>
      </c>
      <c r="I68" s="18">
        <v>584</v>
      </c>
      <c r="J68" s="16">
        <v>14.27</v>
      </c>
      <c r="K68" s="14">
        <f t="shared" si="23"/>
        <v>17.837499999999999</v>
      </c>
      <c r="L68" s="14">
        <f t="shared" si="24"/>
        <v>10417.099999999999</v>
      </c>
    </row>
    <row r="69" spans="4:12" ht="38.25">
      <c r="D69" s="17" t="s">
        <v>26</v>
      </c>
      <c r="E69" s="11" t="s">
        <v>10</v>
      </c>
      <c r="F69" s="11">
        <v>94964</v>
      </c>
      <c r="G69" s="12" t="s">
        <v>82</v>
      </c>
      <c r="H69" s="11" t="s">
        <v>20</v>
      </c>
      <c r="I69" s="18">
        <v>12.75</v>
      </c>
      <c r="J69" s="16">
        <v>369.79</v>
      </c>
      <c r="K69" s="14">
        <f t="shared" si="23"/>
        <v>462.23750000000001</v>
      </c>
      <c r="L69" s="14">
        <f t="shared" si="24"/>
        <v>5893.5281249999998</v>
      </c>
    </row>
    <row r="70" spans="4:12" ht="38.25">
      <c r="D70" s="17" t="s">
        <v>27</v>
      </c>
      <c r="E70" s="11" t="s">
        <v>22</v>
      </c>
      <c r="F70" s="11">
        <v>2692</v>
      </c>
      <c r="G70" s="12" t="s">
        <v>83</v>
      </c>
      <c r="H70" s="11" t="s">
        <v>84</v>
      </c>
      <c r="I70" s="18">
        <v>66</v>
      </c>
      <c r="J70" s="16">
        <v>5.0199999999999996</v>
      </c>
      <c r="K70" s="14">
        <f t="shared" si="23"/>
        <v>6.2749999999999995</v>
      </c>
      <c r="L70" s="14">
        <f t="shared" si="24"/>
        <v>414.15</v>
      </c>
    </row>
    <row r="71" spans="4:12" ht="38.25">
      <c r="D71" s="17" t="s">
        <v>85</v>
      </c>
      <c r="E71" s="11" t="s">
        <v>10</v>
      </c>
      <c r="F71" s="11">
        <v>94319</v>
      </c>
      <c r="G71" s="12" t="s">
        <v>31</v>
      </c>
      <c r="H71" s="11" t="s">
        <v>20</v>
      </c>
      <c r="I71" s="18">
        <v>2.68</v>
      </c>
      <c r="J71" s="16">
        <v>34.659999999999997</v>
      </c>
      <c r="K71" s="14">
        <f t="shared" si="23"/>
        <v>43.324999999999996</v>
      </c>
      <c r="L71" s="14">
        <f t="shared" si="24"/>
        <v>116.11099999999999</v>
      </c>
    </row>
    <row r="72" spans="4:12">
      <c r="D72" s="246" t="s">
        <v>130</v>
      </c>
      <c r="E72" s="247"/>
      <c r="F72" s="247"/>
      <c r="G72" s="247"/>
      <c r="H72" s="247"/>
      <c r="I72" s="247"/>
      <c r="J72" s="247"/>
      <c r="K72" s="248"/>
      <c r="L72" s="15">
        <f>SUM(L65:L71)</f>
        <v>24615.474625000003</v>
      </c>
    </row>
    <row r="73" spans="4:12">
      <c r="D73" s="81">
        <v>4</v>
      </c>
      <c r="E73" s="243"/>
      <c r="F73" s="244"/>
      <c r="G73" s="82" t="s">
        <v>86</v>
      </c>
      <c r="H73" s="243"/>
      <c r="I73" s="245"/>
      <c r="J73" s="245"/>
      <c r="K73" s="245"/>
      <c r="L73" s="244"/>
    </row>
    <row r="74" spans="4:12" ht="25.5">
      <c r="D74" s="17" t="s">
        <v>28</v>
      </c>
      <c r="E74" s="11" t="s">
        <v>10</v>
      </c>
      <c r="F74" s="11">
        <v>93358</v>
      </c>
      <c r="G74" s="12" t="s">
        <v>88</v>
      </c>
      <c r="H74" s="11" t="s">
        <v>20</v>
      </c>
      <c r="I74" s="18">
        <v>14.44</v>
      </c>
      <c r="J74" s="16">
        <v>55.81</v>
      </c>
      <c r="K74" s="14">
        <f t="shared" ref="K74:K83" si="25">J74*(1+$K$7)</f>
        <v>69.762500000000003</v>
      </c>
      <c r="L74" s="14">
        <f t="shared" ref="L74:L83" si="26">I74*K74</f>
        <v>1007.3705</v>
      </c>
    </row>
    <row r="75" spans="4:12" ht="38.25">
      <c r="D75" s="17" t="s">
        <v>89</v>
      </c>
      <c r="E75" s="11" t="s">
        <v>10</v>
      </c>
      <c r="F75" s="11">
        <v>94968</v>
      </c>
      <c r="G75" s="12" t="s">
        <v>519</v>
      </c>
      <c r="H75" s="11" t="s">
        <v>20</v>
      </c>
      <c r="I75" s="18">
        <v>2.46</v>
      </c>
      <c r="J75" s="16">
        <v>299.54000000000002</v>
      </c>
      <c r="K75" s="14">
        <f t="shared" si="25"/>
        <v>374.42500000000001</v>
      </c>
      <c r="L75" s="14">
        <f t="shared" si="26"/>
        <v>921.08550000000002</v>
      </c>
    </row>
    <row r="76" spans="4:12" ht="25.5">
      <c r="D76" s="17" t="s">
        <v>90</v>
      </c>
      <c r="E76" s="11" t="s">
        <v>22</v>
      </c>
      <c r="F76" s="11">
        <v>1355</v>
      </c>
      <c r="G76" s="12" t="s">
        <v>80</v>
      </c>
      <c r="H76" s="11" t="s">
        <v>13</v>
      </c>
      <c r="I76" s="18">
        <v>232.04</v>
      </c>
      <c r="J76" s="16">
        <v>43.97</v>
      </c>
      <c r="K76" s="14">
        <f t="shared" si="25"/>
        <v>54.962499999999999</v>
      </c>
      <c r="L76" s="14">
        <f t="shared" si="26"/>
        <v>12753.4985</v>
      </c>
    </row>
    <row r="77" spans="4:12" ht="38.25">
      <c r="D77" s="17" t="s">
        <v>91</v>
      </c>
      <c r="E77" s="11" t="s">
        <v>10</v>
      </c>
      <c r="F77" s="11" t="s">
        <v>72</v>
      </c>
      <c r="G77" s="12" t="s">
        <v>73</v>
      </c>
      <c r="H77" s="11" t="s">
        <v>70</v>
      </c>
      <c r="I77" s="18">
        <v>293.2</v>
      </c>
      <c r="J77" s="16">
        <v>10.29</v>
      </c>
      <c r="K77" s="14">
        <f t="shared" si="25"/>
        <v>12.862499999999999</v>
      </c>
      <c r="L77" s="14">
        <f t="shared" si="26"/>
        <v>3771.2849999999994</v>
      </c>
    </row>
    <row r="78" spans="4:12" ht="39">
      <c r="D78" s="17" t="s">
        <v>92</v>
      </c>
      <c r="E78" s="11" t="s">
        <v>10</v>
      </c>
      <c r="F78" s="11">
        <v>92793</v>
      </c>
      <c r="G78" s="105" t="s">
        <v>75</v>
      </c>
      <c r="H78" s="11" t="s">
        <v>70</v>
      </c>
      <c r="I78" s="40">
        <v>364.07</v>
      </c>
      <c r="J78" s="16">
        <v>14.43</v>
      </c>
      <c r="K78" s="14">
        <f t="shared" si="25"/>
        <v>18.037500000000001</v>
      </c>
      <c r="L78" s="14">
        <f t="shared" si="26"/>
        <v>6566.9126250000008</v>
      </c>
    </row>
    <row r="79" spans="4:12" ht="38.25">
      <c r="D79" s="17" t="s">
        <v>95</v>
      </c>
      <c r="E79" s="11" t="s">
        <v>10</v>
      </c>
      <c r="F79" s="11">
        <v>92794</v>
      </c>
      <c r="G79" s="12" t="s">
        <v>94</v>
      </c>
      <c r="H79" s="11" t="s">
        <v>70</v>
      </c>
      <c r="I79" s="18">
        <v>141.31</v>
      </c>
      <c r="J79" s="16">
        <v>13.42</v>
      </c>
      <c r="K79" s="14">
        <f t="shared" si="25"/>
        <v>16.774999999999999</v>
      </c>
      <c r="L79" s="14">
        <f t="shared" si="26"/>
        <v>2370.47525</v>
      </c>
    </row>
    <row r="80" spans="4:12" ht="39">
      <c r="D80" s="17" t="s">
        <v>96</v>
      </c>
      <c r="E80" s="11" t="s">
        <v>10</v>
      </c>
      <c r="F80" s="11">
        <v>92795</v>
      </c>
      <c r="G80" s="105" t="s">
        <v>432</v>
      </c>
      <c r="H80" s="11" t="s">
        <v>70</v>
      </c>
      <c r="I80" s="40">
        <v>106.76</v>
      </c>
      <c r="J80" s="16">
        <v>11.53</v>
      </c>
      <c r="K80" s="14">
        <f t="shared" si="25"/>
        <v>14.4125</v>
      </c>
      <c r="L80" s="14">
        <f t="shared" si="26"/>
        <v>1538.6785</v>
      </c>
    </row>
    <row r="81" spans="4:12" ht="38.25">
      <c r="D81" s="17" t="s">
        <v>97</v>
      </c>
      <c r="E81" s="11" t="s">
        <v>10</v>
      </c>
      <c r="F81" s="11">
        <v>94964</v>
      </c>
      <c r="G81" s="12" t="s">
        <v>82</v>
      </c>
      <c r="H81" s="11" t="s">
        <v>20</v>
      </c>
      <c r="I81" s="18">
        <v>11.98</v>
      </c>
      <c r="J81" s="16">
        <v>369.79</v>
      </c>
      <c r="K81" s="14">
        <f t="shared" si="25"/>
        <v>462.23750000000001</v>
      </c>
      <c r="L81" s="14">
        <f t="shared" si="26"/>
        <v>5537.6052500000005</v>
      </c>
    </row>
    <row r="82" spans="4:12" ht="38.25">
      <c r="D82" s="17" t="s">
        <v>429</v>
      </c>
      <c r="E82" s="11" t="s">
        <v>22</v>
      </c>
      <c r="F82" s="11">
        <v>2692</v>
      </c>
      <c r="G82" s="12" t="s">
        <v>83</v>
      </c>
      <c r="H82" s="11" t="s">
        <v>84</v>
      </c>
      <c r="I82" s="18">
        <v>60</v>
      </c>
      <c r="J82" s="16">
        <v>5.0199999999999996</v>
      </c>
      <c r="K82" s="14">
        <f t="shared" si="25"/>
        <v>6.2749999999999995</v>
      </c>
      <c r="L82" s="14">
        <f t="shared" si="26"/>
        <v>376.49999999999994</v>
      </c>
    </row>
    <row r="83" spans="4:12" ht="38.25">
      <c r="D83" s="17" t="s">
        <v>430</v>
      </c>
      <c r="E83" s="11" t="s">
        <v>10</v>
      </c>
      <c r="F83" s="11">
        <v>94319</v>
      </c>
      <c r="G83" s="12" t="s">
        <v>31</v>
      </c>
      <c r="H83" s="11" t="s">
        <v>20</v>
      </c>
      <c r="I83" s="18">
        <v>2.46</v>
      </c>
      <c r="J83" s="16">
        <v>34.659999999999997</v>
      </c>
      <c r="K83" s="14">
        <f t="shared" si="25"/>
        <v>43.324999999999996</v>
      </c>
      <c r="L83" s="14">
        <f t="shared" si="26"/>
        <v>106.57949999999998</v>
      </c>
    </row>
    <row r="84" spans="4:12">
      <c r="D84" s="246" t="s">
        <v>130</v>
      </c>
      <c r="E84" s="247"/>
      <c r="F84" s="247"/>
      <c r="G84" s="247"/>
      <c r="H84" s="247"/>
      <c r="I84" s="247"/>
      <c r="J84" s="247"/>
      <c r="K84" s="248"/>
      <c r="L84" s="15">
        <f>SUM(L74:L83)</f>
        <v>34949.990624999999</v>
      </c>
    </row>
    <row r="85" spans="4:12">
      <c r="D85" s="81">
        <v>5</v>
      </c>
      <c r="E85" s="243"/>
      <c r="F85" s="244"/>
      <c r="G85" s="82" t="s">
        <v>98</v>
      </c>
      <c r="H85" s="243"/>
      <c r="I85" s="245"/>
      <c r="J85" s="245"/>
      <c r="K85" s="245"/>
      <c r="L85" s="244"/>
    </row>
    <row r="86" spans="4:12" ht="76.5">
      <c r="D86" s="17" t="s">
        <v>59</v>
      </c>
      <c r="E86" s="11" t="s">
        <v>10</v>
      </c>
      <c r="F86" s="11">
        <v>87507</v>
      </c>
      <c r="G86" s="12" t="s">
        <v>441</v>
      </c>
      <c r="H86" s="11" t="s">
        <v>13</v>
      </c>
      <c r="I86" s="18">
        <v>696.42</v>
      </c>
      <c r="J86" s="16">
        <v>73.88</v>
      </c>
      <c r="K86" s="14">
        <f t="shared" ref="K86" si="27">J86*(1+$K$7)</f>
        <v>92.35</v>
      </c>
      <c r="L86" s="14">
        <f t="shared" ref="L86" si="28">I86*K86</f>
        <v>64314.386999999995</v>
      </c>
    </row>
    <row r="87" spans="4:12">
      <c r="D87" s="246" t="s">
        <v>130</v>
      </c>
      <c r="E87" s="247"/>
      <c r="F87" s="247"/>
      <c r="G87" s="247"/>
      <c r="H87" s="247"/>
      <c r="I87" s="247"/>
      <c r="J87" s="247"/>
      <c r="K87" s="248"/>
      <c r="L87" s="15">
        <f>SUM(L86)</f>
        <v>64314.386999999995</v>
      </c>
    </row>
    <row r="88" spans="4:12">
      <c r="D88" s="81">
        <v>6</v>
      </c>
      <c r="E88" s="243"/>
      <c r="F88" s="244"/>
      <c r="G88" s="82" t="s">
        <v>99</v>
      </c>
      <c r="H88" s="243"/>
      <c r="I88" s="245"/>
      <c r="J88" s="245"/>
      <c r="K88" s="245"/>
      <c r="L88" s="244"/>
    </row>
    <row r="89" spans="4:12" ht="25.5">
      <c r="D89" s="17" t="s">
        <v>33</v>
      </c>
      <c r="E89" s="11" t="s">
        <v>22</v>
      </c>
      <c r="F89" s="11">
        <v>1355</v>
      </c>
      <c r="G89" s="12" t="s">
        <v>80</v>
      </c>
      <c r="H89" s="11" t="s">
        <v>13</v>
      </c>
      <c r="I89" s="18">
        <v>195</v>
      </c>
      <c r="J89" s="16">
        <v>43.97</v>
      </c>
      <c r="K89" s="14">
        <f t="shared" ref="K89:K93" si="29">J89*(1+$K$7)</f>
        <v>54.962499999999999</v>
      </c>
      <c r="L89" s="14">
        <f t="shared" ref="L89:L93" si="30">I89*K89</f>
        <v>10717.6875</v>
      </c>
    </row>
    <row r="90" spans="4:12" ht="38.25">
      <c r="D90" s="17" t="s">
        <v>38</v>
      </c>
      <c r="E90" s="11" t="s">
        <v>10</v>
      </c>
      <c r="F90" s="11">
        <v>92791</v>
      </c>
      <c r="G90" s="12" t="s">
        <v>73</v>
      </c>
      <c r="H90" s="11" t="s">
        <v>70</v>
      </c>
      <c r="I90" s="18">
        <v>319</v>
      </c>
      <c r="J90" s="16">
        <v>13.66</v>
      </c>
      <c r="K90" s="14">
        <f t="shared" si="29"/>
        <v>17.074999999999999</v>
      </c>
      <c r="L90" s="14">
        <f t="shared" si="30"/>
        <v>5446.9250000000002</v>
      </c>
    </row>
    <row r="91" spans="4:12" ht="38.25">
      <c r="D91" s="17" t="s">
        <v>39</v>
      </c>
      <c r="E91" s="11" t="s">
        <v>10</v>
      </c>
      <c r="F91" s="11">
        <v>92794</v>
      </c>
      <c r="G91" s="12" t="s">
        <v>94</v>
      </c>
      <c r="H91" s="11" t="s">
        <v>70</v>
      </c>
      <c r="I91" s="18">
        <v>830</v>
      </c>
      <c r="J91" s="16">
        <v>13.42</v>
      </c>
      <c r="K91" s="14">
        <f t="shared" si="29"/>
        <v>16.774999999999999</v>
      </c>
      <c r="L91" s="14">
        <f t="shared" si="30"/>
        <v>13923.249999999998</v>
      </c>
    </row>
    <row r="92" spans="4:12" ht="38.25">
      <c r="D92" s="17" t="s">
        <v>42</v>
      </c>
      <c r="E92" s="11" t="s">
        <v>10</v>
      </c>
      <c r="F92" s="11">
        <v>94964</v>
      </c>
      <c r="G92" s="12" t="s">
        <v>82</v>
      </c>
      <c r="H92" s="11" t="s">
        <v>20</v>
      </c>
      <c r="I92" s="18">
        <v>8.56</v>
      </c>
      <c r="J92" s="16">
        <v>369.79</v>
      </c>
      <c r="K92" s="14">
        <f t="shared" si="29"/>
        <v>462.23750000000001</v>
      </c>
      <c r="L92" s="14">
        <f t="shared" si="30"/>
        <v>3956.7530000000002</v>
      </c>
    </row>
    <row r="93" spans="4:12" ht="38.25">
      <c r="D93" s="17" t="s">
        <v>100</v>
      </c>
      <c r="E93" s="11" t="s">
        <v>22</v>
      </c>
      <c r="F93" s="11">
        <v>2692</v>
      </c>
      <c r="G93" s="12" t="s">
        <v>83</v>
      </c>
      <c r="H93" s="11" t="s">
        <v>84</v>
      </c>
      <c r="I93" s="18">
        <v>60</v>
      </c>
      <c r="J93" s="16">
        <v>5.0199999999999996</v>
      </c>
      <c r="K93" s="14">
        <f t="shared" si="29"/>
        <v>6.2749999999999995</v>
      </c>
      <c r="L93" s="14">
        <f t="shared" si="30"/>
        <v>376.49999999999994</v>
      </c>
    </row>
    <row r="94" spans="4:12">
      <c r="D94" s="246" t="s">
        <v>130</v>
      </c>
      <c r="E94" s="247"/>
      <c r="F94" s="247"/>
      <c r="G94" s="247"/>
      <c r="H94" s="247"/>
      <c r="I94" s="247"/>
      <c r="J94" s="247"/>
      <c r="K94" s="248"/>
      <c r="L94" s="15">
        <f>SUM(L89:L93)</f>
        <v>34421.115499999993</v>
      </c>
    </row>
    <row r="95" spans="4:12">
      <c r="D95" s="81">
        <v>7</v>
      </c>
      <c r="E95" s="243"/>
      <c r="F95" s="244"/>
      <c r="G95" s="82" t="s">
        <v>101</v>
      </c>
      <c r="H95" s="243"/>
      <c r="I95" s="245"/>
      <c r="J95" s="245"/>
      <c r="K95" s="245"/>
      <c r="L95" s="244"/>
    </row>
    <row r="96" spans="4:12" ht="25.5">
      <c r="D96" s="17" t="s">
        <v>46</v>
      </c>
      <c r="E96" s="11" t="s">
        <v>22</v>
      </c>
      <c r="F96" s="11">
        <v>1355</v>
      </c>
      <c r="G96" s="12" t="s">
        <v>80</v>
      </c>
      <c r="H96" s="11" t="s">
        <v>13</v>
      </c>
      <c r="I96" s="18">
        <v>281.7</v>
      </c>
      <c r="J96" s="16">
        <v>43.97</v>
      </c>
      <c r="K96" s="14">
        <f t="shared" ref="K96:K102" si="31">J96*(1+$K$7)</f>
        <v>54.962499999999999</v>
      </c>
      <c r="L96" s="14">
        <f t="shared" ref="L96:L102" si="32">I96*K96</f>
        <v>15482.936249999999</v>
      </c>
    </row>
    <row r="97" spans="4:12" ht="38.25">
      <c r="D97" s="17" t="s">
        <v>49</v>
      </c>
      <c r="E97" s="11" t="s">
        <v>10</v>
      </c>
      <c r="F97" s="11">
        <v>92791</v>
      </c>
      <c r="G97" s="12" t="s">
        <v>73</v>
      </c>
      <c r="H97" s="11" t="s">
        <v>70</v>
      </c>
      <c r="I97" s="49">
        <v>318.27</v>
      </c>
      <c r="J97" s="16">
        <v>13.66</v>
      </c>
      <c r="K97" s="14">
        <f>J97*(1+$K$7)</f>
        <v>17.074999999999999</v>
      </c>
      <c r="L97" s="14">
        <f>I97*K97</f>
        <v>5434.4602499999992</v>
      </c>
    </row>
    <row r="98" spans="4:12" ht="39">
      <c r="D98" s="17" t="s">
        <v>102</v>
      </c>
      <c r="E98" s="11" t="s">
        <v>10</v>
      </c>
      <c r="F98" s="11">
        <v>92793</v>
      </c>
      <c r="G98" s="105" t="s">
        <v>75</v>
      </c>
      <c r="H98" s="11" t="s">
        <v>70</v>
      </c>
      <c r="I98" s="49">
        <v>274.98</v>
      </c>
      <c r="J98" s="16">
        <v>14.43</v>
      </c>
      <c r="K98" s="14">
        <f>J98*(1+$K$7)</f>
        <v>18.037500000000001</v>
      </c>
      <c r="L98" s="14">
        <f>I98*K98</f>
        <v>4959.9517500000011</v>
      </c>
    </row>
    <row r="99" spans="4:12" ht="38.25">
      <c r="D99" s="17" t="s">
        <v>103</v>
      </c>
      <c r="E99" s="11" t="s">
        <v>10</v>
      </c>
      <c r="F99" s="11">
        <v>92794</v>
      </c>
      <c r="G99" s="12" t="s">
        <v>94</v>
      </c>
      <c r="H99" s="11" t="s">
        <v>70</v>
      </c>
      <c r="I99" s="49">
        <v>259.18</v>
      </c>
      <c r="J99" s="16">
        <v>13.42</v>
      </c>
      <c r="K99" s="14">
        <f t="shared" ref="K99:K100" si="33">J99*(1+$K$7)</f>
        <v>16.774999999999999</v>
      </c>
      <c r="L99" s="14">
        <f t="shared" si="32"/>
        <v>4347.7444999999998</v>
      </c>
    </row>
    <row r="100" spans="4:12" ht="39">
      <c r="D100" s="17" t="s">
        <v>104</v>
      </c>
      <c r="E100" s="11" t="s">
        <v>10</v>
      </c>
      <c r="F100" s="11">
        <v>92795</v>
      </c>
      <c r="G100" s="105" t="s">
        <v>432</v>
      </c>
      <c r="H100" s="11" t="s">
        <v>70</v>
      </c>
      <c r="I100" s="49">
        <v>296.02</v>
      </c>
      <c r="J100" s="16">
        <v>11.53</v>
      </c>
      <c r="K100" s="14">
        <f t="shared" si="33"/>
        <v>14.4125</v>
      </c>
      <c r="L100" s="14">
        <f t="shared" si="32"/>
        <v>4266.38825</v>
      </c>
    </row>
    <row r="101" spans="4:12" ht="38.25">
      <c r="D101" s="17" t="s">
        <v>433</v>
      </c>
      <c r="E101" s="11" t="s">
        <v>10</v>
      </c>
      <c r="F101" s="11">
        <v>94964</v>
      </c>
      <c r="G101" s="12" t="s">
        <v>82</v>
      </c>
      <c r="H101" s="11" t="s">
        <v>20</v>
      </c>
      <c r="I101" s="18">
        <v>12.65</v>
      </c>
      <c r="J101" s="16">
        <v>369.79</v>
      </c>
      <c r="K101" s="14">
        <f t="shared" si="31"/>
        <v>462.23750000000001</v>
      </c>
      <c r="L101" s="14">
        <f t="shared" si="32"/>
        <v>5847.3043750000006</v>
      </c>
    </row>
    <row r="102" spans="4:12" ht="38.25">
      <c r="D102" s="17" t="s">
        <v>434</v>
      </c>
      <c r="E102" s="11" t="s">
        <v>22</v>
      </c>
      <c r="F102" s="11">
        <v>2692</v>
      </c>
      <c r="G102" s="12" t="s">
        <v>83</v>
      </c>
      <c r="H102" s="11" t="s">
        <v>84</v>
      </c>
      <c r="I102" s="18">
        <v>60</v>
      </c>
      <c r="J102" s="16">
        <v>5.0199999999999996</v>
      </c>
      <c r="K102" s="14">
        <f t="shared" si="31"/>
        <v>6.2749999999999995</v>
      </c>
      <c r="L102" s="14">
        <f t="shared" si="32"/>
        <v>376.49999999999994</v>
      </c>
    </row>
    <row r="103" spans="4:12">
      <c r="D103" s="246" t="s">
        <v>130</v>
      </c>
      <c r="E103" s="247"/>
      <c r="F103" s="247"/>
      <c r="G103" s="247"/>
      <c r="H103" s="247"/>
      <c r="I103" s="247"/>
      <c r="J103" s="247"/>
      <c r="K103" s="248"/>
      <c r="L103" s="15">
        <f>SUM(L96:L102)</f>
        <v>40715.285374999999</v>
      </c>
    </row>
    <row r="104" spans="4:12">
      <c r="D104" s="81">
        <v>8</v>
      </c>
      <c r="E104" s="243"/>
      <c r="F104" s="244"/>
      <c r="G104" s="82" t="s">
        <v>105</v>
      </c>
      <c r="H104" s="243"/>
      <c r="I104" s="245"/>
      <c r="J104" s="245"/>
      <c r="K104" s="245"/>
      <c r="L104" s="244"/>
    </row>
    <row r="105" spans="4:12" ht="51">
      <c r="D105" s="17" t="s">
        <v>106</v>
      </c>
      <c r="E105" s="11" t="s">
        <v>10</v>
      </c>
      <c r="F105" s="11">
        <v>101964</v>
      </c>
      <c r="G105" s="12" t="s">
        <v>520</v>
      </c>
      <c r="H105" s="11" t="s">
        <v>13</v>
      </c>
      <c r="I105" s="18">
        <v>532.15</v>
      </c>
      <c r="J105" s="16">
        <v>196.13</v>
      </c>
      <c r="K105" s="14">
        <f t="shared" ref="K105" si="34">J105*(1+$K$7)</f>
        <v>245.16249999999999</v>
      </c>
      <c r="L105" s="14">
        <f t="shared" ref="L105" si="35">I105*K105</f>
        <v>130463.22437499999</v>
      </c>
    </row>
    <row r="106" spans="4:12">
      <c r="D106" s="246" t="s">
        <v>130</v>
      </c>
      <c r="E106" s="247"/>
      <c r="F106" s="247"/>
      <c r="G106" s="247"/>
      <c r="H106" s="247"/>
      <c r="I106" s="247"/>
      <c r="J106" s="247"/>
      <c r="K106" s="248"/>
      <c r="L106" s="15">
        <f>SUM(L105)</f>
        <v>130463.22437499999</v>
      </c>
    </row>
    <row r="107" spans="4:12">
      <c r="D107" s="81">
        <v>9</v>
      </c>
      <c r="E107" s="243"/>
      <c r="F107" s="244"/>
      <c r="G107" s="82" t="s">
        <v>107</v>
      </c>
      <c r="H107" s="243"/>
      <c r="I107" s="245"/>
      <c r="J107" s="245"/>
      <c r="K107" s="245"/>
      <c r="L107" s="244"/>
    </row>
    <row r="108" spans="4:12" ht="51">
      <c r="D108" s="17" t="s">
        <v>108</v>
      </c>
      <c r="E108" s="11" t="s">
        <v>10</v>
      </c>
      <c r="F108" s="11">
        <v>92542</v>
      </c>
      <c r="G108" s="12" t="s">
        <v>110</v>
      </c>
      <c r="H108" s="11" t="s">
        <v>13</v>
      </c>
      <c r="I108" s="18">
        <v>655.35</v>
      </c>
      <c r="J108" s="16">
        <v>146.07</v>
      </c>
      <c r="K108" s="14">
        <f t="shared" ref="K108:K109" si="36">J108*(1+$K$7)</f>
        <v>182.58749999999998</v>
      </c>
      <c r="L108" s="14">
        <f t="shared" ref="L108:L109" si="37">I108*K108</f>
        <v>119658.71812499998</v>
      </c>
    </row>
    <row r="109" spans="4:12" ht="38.25">
      <c r="D109" s="17" t="s">
        <v>111</v>
      </c>
      <c r="E109" s="11" t="s">
        <v>10</v>
      </c>
      <c r="F109" s="11">
        <v>94445</v>
      </c>
      <c r="G109" s="12" t="s">
        <v>113</v>
      </c>
      <c r="H109" s="11" t="s">
        <v>13</v>
      </c>
      <c r="I109" s="18">
        <v>655.35</v>
      </c>
      <c r="J109" s="16">
        <v>48.45</v>
      </c>
      <c r="K109" s="14">
        <f t="shared" si="36"/>
        <v>60.5625</v>
      </c>
      <c r="L109" s="14">
        <f t="shared" si="37"/>
        <v>39689.634375000001</v>
      </c>
    </row>
    <row r="110" spans="4:12">
      <c r="D110" s="246" t="s">
        <v>130</v>
      </c>
      <c r="E110" s="247"/>
      <c r="F110" s="247"/>
      <c r="G110" s="247"/>
      <c r="H110" s="247"/>
      <c r="I110" s="247"/>
      <c r="J110" s="247"/>
      <c r="K110" s="248"/>
      <c r="L110" s="15">
        <f>SUM(L108:L109)</f>
        <v>159348.35249999998</v>
      </c>
    </row>
    <row r="111" spans="4:12">
      <c r="D111" s="83">
        <v>10</v>
      </c>
      <c r="E111" s="243"/>
      <c r="F111" s="244"/>
      <c r="G111" s="82" t="s">
        <v>114</v>
      </c>
      <c r="H111" s="243"/>
      <c r="I111" s="245"/>
      <c r="J111" s="245"/>
      <c r="K111" s="245"/>
      <c r="L111" s="244"/>
    </row>
    <row r="112" spans="4:12" ht="63.75">
      <c r="D112" s="17" t="s">
        <v>51</v>
      </c>
      <c r="E112" s="11" t="s">
        <v>10</v>
      </c>
      <c r="F112" s="11">
        <v>87894</v>
      </c>
      <c r="G112" s="12" t="s">
        <v>35</v>
      </c>
      <c r="H112" s="11" t="s">
        <v>13</v>
      </c>
      <c r="I112" s="18">
        <v>2081.13</v>
      </c>
      <c r="J112" s="16">
        <v>4.9400000000000004</v>
      </c>
      <c r="K112" s="14">
        <f t="shared" ref="K112:K115" si="38">J112*(1+$K$7)</f>
        <v>6.1750000000000007</v>
      </c>
      <c r="L112" s="14">
        <f t="shared" ref="L112:L115" si="39">I112*K112</f>
        <v>12850.977750000002</v>
      </c>
    </row>
    <row r="113" spans="4:12" ht="76.5">
      <c r="D113" s="17" t="s">
        <v>52</v>
      </c>
      <c r="E113" s="11" t="s">
        <v>10</v>
      </c>
      <c r="F113" s="11">
        <v>87549</v>
      </c>
      <c r="G113" s="12" t="s">
        <v>37</v>
      </c>
      <c r="H113" s="11" t="s">
        <v>13</v>
      </c>
      <c r="I113" s="18">
        <v>468.65</v>
      </c>
      <c r="J113" s="16">
        <v>16.36</v>
      </c>
      <c r="K113" s="14">
        <f t="shared" si="38"/>
        <v>20.45</v>
      </c>
      <c r="L113" s="14">
        <f t="shared" si="39"/>
        <v>9583.8924999999999</v>
      </c>
    </row>
    <row r="114" spans="4:12" ht="63.75">
      <c r="D114" s="17" t="s">
        <v>56</v>
      </c>
      <c r="E114" s="11" t="s">
        <v>10</v>
      </c>
      <c r="F114" s="11">
        <v>87264</v>
      </c>
      <c r="G114" s="12" t="s">
        <v>41</v>
      </c>
      <c r="H114" s="11" t="s">
        <v>13</v>
      </c>
      <c r="I114" s="18">
        <v>468.65</v>
      </c>
      <c r="J114" s="16">
        <v>54.15</v>
      </c>
      <c r="K114" s="14">
        <f t="shared" si="38"/>
        <v>67.6875</v>
      </c>
      <c r="L114" s="14">
        <f t="shared" si="39"/>
        <v>31721.746874999997</v>
      </c>
    </row>
    <row r="115" spans="4:12" ht="63.75">
      <c r="D115" s="17" t="s">
        <v>57</v>
      </c>
      <c r="E115" s="11" t="s">
        <v>10</v>
      </c>
      <c r="F115" s="11">
        <v>87529</v>
      </c>
      <c r="G115" s="12" t="s">
        <v>44</v>
      </c>
      <c r="H115" s="11" t="s">
        <v>13</v>
      </c>
      <c r="I115" s="18">
        <v>1612.48</v>
      </c>
      <c r="J115" s="16">
        <v>26.97</v>
      </c>
      <c r="K115" s="14">
        <f t="shared" si="38"/>
        <v>33.712499999999999</v>
      </c>
      <c r="L115" s="14">
        <f t="shared" si="39"/>
        <v>54360.731999999996</v>
      </c>
    </row>
    <row r="116" spans="4:12">
      <c r="D116" s="246" t="s">
        <v>130</v>
      </c>
      <c r="E116" s="247"/>
      <c r="F116" s="247"/>
      <c r="G116" s="247"/>
      <c r="H116" s="247"/>
      <c r="I116" s="247"/>
      <c r="J116" s="247"/>
      <c r="K116" s="248"/>
      <c r="L116" s="15">
        <f>SUM(L112:L115)</f>
        <v>108517.34912499999</v>
      </c>
    </row>
    <row r="117" spans="4:12">
      <c r="D117" s="81">
        <v>11</v>
      </c>
      <c r="E117" s="243"/>
      <c r="F117" s="244"/>
      <c r="G117" s="82" t="s">
        <v>45</v>
      </c>
      <c r="H117" s="243"/>
      <c r="I117" s="245"/>
      <c r="J117" s="245"/>
      <c r="K117" s="245"/>
      <c r="L117" s="244"/>
    </row>
    <row r="118" spans="4:12" ht="51">
      <c r="D118" s="17" t="s">
        <v>64</v>
      </c>
      <c r="E118" s="11" t="s">
        <v>10</v>
      </c>
      <c r="F118" s="11">
        <v>87700</v>
      </c>
      <c r="G118" s="12" t="s">
        <v>48</v>
      </c>
      <c r="H118" s="11" t="s">
        <v>13</v>
      </c>
      <c r="I118" s="18">
        <v>712.35</v>
      </c>
      <c r="J118" s="16">
        <v>38.700000000000003</v>
      </c>
      <c r="K118" s="14">
        <f t="shared" ref="K118:K120" si="40">J118*(1+$K$7)</f>
        <v>48.375</v>
      </c>
      <c r="L118" s="14">
        <f t="shared" ref="L118:L120" si="41">I118*K118</f>
        <v>34459.931250000001</v>
      </c>
    </row>
    <row r="119" spans="4:12" ht="51">
      <c r="D119" s="17" t="s">
        <v>115</v>
      </c>
      <c r="E119" s="11" t="s">
        <v>289</v>
      </c>
      <c r="F119" s="11" t="s">
        <v>591</v>
      </c>
      <c r="G119" s="12" t="s">
        <v>602</v>
      </c>
      <c r="H119" s="11" t="s">
        <v>13</v>
      </c>
      <c r="I119" s="18">
        <v>532.15</v>
      </c>
      <c r="J119" s="16">
        <v>79.819999999999993</v>
      </c>
      <c r="K119" s="14">
        <f t="shared" si="40"/>
        <v>99.774999999999991</v>
      </c>
      <c r="L119" s="14">
        <f t="shared" si="41"/>
        <v>53095.266249999993</v>
      </c>
    </row>
    <row r="120" spans="4:12" ht="25.5">
      <c r="D120" s="17" t="s">
        <v>127</v>
      </c>
      <c r="E120" s="11" t="s">
        <v>22</v>
      </c>
      <c r="F120" s="11">
        <v>38181</v>
      </c>
      <c r="G120" s="12" t="s">
        <v>128</v>
      </c>
      <c r="H120" s="11" t="s">
        <v>13</v>
      </c>
      <c r="I120" s="18">
        <v>120</v>
      </c>
      <c r="J120" s="16">
        <v>179.45</v>
      </c>
      <c r="K120" s="14">
        <f t="shared" si="40"/>
        <v>224.3125</v>
      </c>
      <c r="L120" s="14">
        <f t="shared" si="41"/>
        <v>26917.5</v>
      </c>
    </row>
    <row r="121" spans="4:12">
      <c r="D121" s="246" t="s">
        <v>130</v>
      </c>
      <c r="E121" s="247"/>
      <c r="F121" s="247"/>
      <c r="G121" s="247"/>
      <c r="H121" s="247"/>
      <c r="I121" s="247"/>
      <c r="J121" s="247"/>
      <c r="K121" s="248"/>
      <c r="L121" s="15">
        <f>SUM(L118:L120)</f>
        <v>114472.69749999999</v>
      </c>
    </row>
    <row r="122" spans="4:12">
      <c r="D122" s="81">
        <v>12</v>
      </c>
      <c r="E122" s="243"/>
      <c r="F122" s="244"/>
      <c r="G122" s="82" t="s">
        <v>534</v>
      </c>
      <c r="H122" s="243"/>
      <c r="I122" s="245"/>
      <c r="J122" s="245"/>
      <c r="K122" s="245"/>
      <c r="L122" s="244"/>
    </row>
    <row r="123" spans="4:12" ht="63.75">
      <c r="D123" s="17" t="s">
        <v>116</v>
      </c>
      <c r="E123" s="11" t="s">
        <v>289</v>
      </c>
      <c r="F123" s="11" t="s">
        <v>526</v>
      </c>
      <c r="G123" s="12" t="s">
        <v>527</v>
      </c>
      <c r="H123" s="11" t="s">
        <v>13</v>
      </c>
      <c r="I123" s="13">
        <v>11.77</v>
      </c>
      <c r="J123" s="14">
        <v>396.27</v>
      </c>
      <c r="K123" s="14">
        <f t="shared" ref="K123:K125" si="42">J123*(1+$K$7)</f>
        <v>495.33749999999998</v>
      </c>
      <c r="L123" s="14">
        <f t="shared" ref="L123:L125" si="43">I123*K123</f>
        <v>5830.1223749999999</v>
      </c>
    </row>
    <row r="124" spans="4:12" ht="63.75">
      <c r="D124" s="17" t="s">
        <v>117</v>
      </c>
      <c r="E124" s="11" t="s">
        <v>10</v>
      </c>
      <c r="F124" s="11">
        <v>94573</v>
      </c>
      <c r="G124" s="12" t="s">
        <v>528</v>
      </c>
      <c r="H124" s="11" t="s">
        <v>13</v>
      </c>
      <c r="I124" s="13">
        <v>49.2</v>
      </c>
      <c r="J124" s="14">
        <v>297.31</v>
      </c>
      <c r="K124" s="14">
        <f t="shared" si="42"/>
        <v>371.63749999999999</v>
      </c>
      <c r="L124" s="14">
        <f t="shared" si="43"/>
        <v>18284.564999999999</v>
      </c>
    </row>
    <row r="125" spans="4:12" ht="63.75">
      <c r="D125" s="17" t="s">
        <v>118</v>
      </c>
      <c r="E125" s="11" t="s">
        <v>289</v>
      </c>
      <c r="F125" s="11" t="s">
        <v>400</v>
      </c>
      <c r="G125" s="12" t="s">
        <v>530</v>
      </c>
      <c r="H125" s="11" t="s">
        <v>13</v>
      </c>
      <c r="I125" s="13">
        <v>11.76</v>
      </c>
      <c r="J125" s="14">
        <v>303.69</v>
      </c>
      <c r="K125" s="14">
        <f t="shared" si="42"/>
        <v>379.61250000000001</v>
      </c>
      <c r="L125" s="14">
        <f t="shared" si="43"/>
        <v>4464.2430000000004</v>
      </c>
    </row>
    <row r="126" spans="4:12" ht="63.75">
      <c r="D126" s="17" t="s">
        <v>119</v>
      </c>
      <c r="E126" s="11" t="s">
        <v>289</v>
      </c>
      <c r="F126" s="11" t="s">
        <v>535</v>
      </c>
      <c r="G126" s="12" t="s">
        <v>536</v>
      </c>
      <c r="H126" s="11" t="s">
        <v>13</v>
      </c>
      <c r="I126" s="13">
        <v>3.36</v>
      </c>
      <c r="J126" s="14">
        <v>437.19</v>
      </c>
      <c r="K126" s="14">
        <f t="shared" ref="K126:K131" si="44">J126*(1+$K$7)</f>
        <v>546.48749999999995</v>
      </c>
      <c r="L126" s="14">
        <f t="shared" ref="L126:L131" si="45">I126*K126</f>
        <v>1836.1979999999999</v>
      </c>
    </row>
    <row r="127" spans="4:12" ht="51">
      <c r="D127" s="17" t="s">
        <v>537</v>
      </c>
      <c r="E127" s="11" t="s">
        <v>10</v>
      </c>
      <c r="F127" s="11">
        <v>94805</v>
      </c>
      <c r="G127" s="12" t="s">
        <v>532</v>
      </c>
      <c r="H127" s="11" t="s">
        <v>13</v>
      </c>
      <c r="I127" s="13">
        <v>23.52</v>
      </c>
      <c r="J127" s="14">
        <v>893.84</v>
      </c>
      <c r="K127" s="14">
        <f t="shared" si="44"/>
        <v>1117.3</v>
      </c>
      <c r="L127" s="14">
        <f t="shared" si="45"/>
        <v>26278.895999999997</v>
      </c>
    </row>
    <row r="128" spans="4:12" ht="38.25">
      <c r="D128" s="17" t="s">
        <v>538</v>
      </c>
      <c r="E128" s="11" t="s">
        <v>10</v>
      </c>
      <c r="F128" s="11">
        <v>91338</v>
      </c>
      <c r="G128" s="12" t="s">
        <v>529</v>
      </c>
      <c r="H128" s="11" t="s">
        <v>13</v>
      </c>
      <c r="I128" s="13">
        <v>31.92</v>
      </c>
      <c r="J128" s="14">
        <v>759.06</v>
      </c>
      <c r="K128" s="14">
        <f t="shared" si="44"/>
        <v>948.82499999999993</v>
      </c>
      <c r="L128" s="14">
        <f t="shared" si="45"/>
        <v>30286.493999999999</v>
      </c>
    </row>
    <row r="129" spans="4:14" ht="25.5">
      <c r="D129" s="17" t="s">
        <v>541</v>
      </c>
      <c r="E129" s="11" t="s">
        <v>289</v>
      </c>
      <c r="F129" s="11" t="s">
        <v>539</v>
      </c>
      <c r="G129" s="12" t="s">
        <v>540</v>
      </c>
      <c r="H129" s="11" t="s">
        <v>13</v>
      </c>
      <c r="I129" s="13">
        <v>102.08</v>
      </c>
      <c r="J129" s="14">
        <v>253.42</v>
      </c>
      <c r="K129" s="14">
        <f t="shared" si="44"/>
        <v>316.77499999999998</v>
      </c>
      <c r="L129" s="14">
        <f t="shared" si="45"/>
        <v>32336.391999999996</v>
      </c>
    </row>
    <row r="130" spans="4:14">
      <c r="D130" s="17" t="s">
        <v>543</v>
      </c>
      <c r="E130" s="11" t="s">
        <v>289</v>
      </c>
      <c r="F130" s="11" t="s">
        <v>542</v>
      </c>
      <c r="G130" s="12" t="s">
        <v>546</v>
      </c>
      <c r="H130" s="11" t="s">
        <v>13</v>
      </c>
      <c r="I130" s="13">
        <v>52</v>
      </c>
      <c r="J130" s="14">
        <v>245.87</v>
      </c>
      <c r="K130" s="14">
        <f t="shared" si="44"/>
        <v>307.33749999999998</v>
      </c>
      <c r="L130" s="14">
        <f t="shared" si="45"/>
        <v>15981.55</v>
      </c>
    </row>
    <row r="131" spans="4:14" ht="25.5">
      <c r="D131" s="17" t="s">
        <v>544</v>
      </c>
      <c r="E131" s="11" t="s">
        <v>289</v>
      </c>
      <c r="F131" s="11" t="s">
        <v>545</v>
      </c>
      <c r="G131" s="12" t="s">
        <v>547</v>
      </c>
      <c r="H131" s="11" t="s">
        <v>13</v>
      </c>
      <c r="I131" s="13">
        <v>9.18</v>
      </c>
      <c r="J131" s="14">
        <v>265.87</v>
      </c>
      <c r="K131" s="14">
        <f t="shared" si="44"/>
        <v>332.33749999999998</v>
      </c>
      <c r="L131" s="14">
        <f t="shared" si="45"/>
        <v>3050.8582499999998</v>
      </c>
    </row>
    <row r="132" spans="4:14" ht="25.5">
      <c r="D132" s="17" t="s">
        <v>549</v>
      </c>
      <c r="E132" s="11" t="s">
        <v>289</v>
      </c>
      <c r="F132" s="11" t="s">
        <v>542</v>
      </c>
      <c r="G132" s="12" t="s">
        <v>548</v>
      </c>
      <c r="H132" s="11" t="s">
        <v>13</v>
      </c>
      <c r="I132" s="13">
        <v>7</v>
      </c>
      <c r="J132" s="14">
        <v>245.87</v>
      </c>
      <c r="K132" s="14">
        <f t="shared" ref="K132:K134" si="46">J132*(1+$K$7)</f>
        <v>307.33749999999998</v>
      </c>
      <c r="L132" s="14">
        <f t="shared" ref="L132:L134" si="47">I132*K132</f>
        <v>2151.3624999999997</v>
      </c>
    </row>
    <row r="133" spans="4:14" ht="25.5">
      <c r="D133" s="17" t="s">
        <v>552</v>
      </c>
      <c r="E133" s="11" t="s">
        <v>289</v>
      </c>
      <c r="F133" s="11" t="s">
        <v>550</v>
      </c>
      <c r="G133" s="12" t="s">
        <v>551</v>
      </c>
      <c r="H133" s="11" t="s">
        <v>13</v>
      </c>
      <c r="I133" s="13">
        <v>3.36</v>
      </c>
      <c r="J133" s="14">
        <v>253.01</v>
      </c>
      <c r="K133" s="14">
        <f t="shared" si="46"/>
        <v>316.26249999999999</v>
      </c>
      <c r="L133" s="14">
        <f t="shared" si="47"/>
        <v>1062.6419999999998</v>
      </c>
    </row>
    <row r="134" spans="4:14" ht="131.25" customHeight="1">
      <c r="D134" s="17" t="s">
        <v>587</v>
      </c>
      <c r="E134" s="11" t="s">
        <v>289</v>
      </c>
      <c r="F134" s="11" t="s">
        <v>589</v>
      </c>
      <c r="G134" s="12" t="s">
        <v>588</v>
      </c>
      <c r="H134" s="11" t="s">
        <v>136</v>
      </c>
      <c r="I134" s="13">
        <v>1</v>
      </c>
      <c r="J134" s="14">
        <v>238.62</v>
      </c>
      <c r="K134" s="14">
        <f t="shared" si="46"/>
        <v>298.27499999999998</v>
      </c>
      <c r="L134" s="14">
        <f t="shared" si="47"/>
        <v>298.27499999999998</v>
      </c>
    </row>
    <row r="135" spans="4:14">
      <c r="D135" s="246" t="s">
        <v>130</v>
      </c>
      <c r="E135" s="247"/>
      <c r="F135" s="247"/>
      <c r="G135" s="247"/>
      <c r="H135" s="247"/>
      <c r="I135" s="247"/>
      <c r="J135" s="247"/>
      <c r="K135" s="248"/>
      <c r="L135" s="15">
        <f>SUM(L123:L134)</f>
        <v>141861.59812499993</v>
      </c>
    </row>
    <row r="136" spans="4:14">
      <c r="D136" s="81">
        <v>13</v>
      </c>
      <c r="E136" s="243"/>
      <c r="F136" s="244"/>
      <c r="G136" s="82" t="s">
        <v>121</v>
      </c>
      <c r="H136" s="243"/>
      <c r="I136" s="245"/>
      <c r="J136" s="245"/>
      <c r="K136" s="245"/>
      <c r="L136" s="244"/>
    </row>
    <row r="137" spans="4:14" ht="25.5">
      <c r="D137" s="17" t="s">
        <v>120</v>
      </c>
      <c r="E137" s="11" t="s">
        <v>289</v>
      </c>
      <c r="F137" s="11" t="s">
        <v>427</v>
      </c>
      <c r="G137" s="12" t="s">
        <v>428</v>
      </c>
      <c r="H137" s="11" t="s">
        <v>13</v>
      </c>
      <c r="I137" s="18">
        <v>16.260000000000002</v>
      </c>
      <c r="J137" s="16">
        <v>249.51</v>
      </c>
      <c r="K137" s="14">
        <f t="shared" ref="K137:K138" si="48">J137*(1+$K$7)</f>
        <v>311.88749999999999</v>
      </c>
      <c r="L137" s="14">
        <f t="shared" ref="L137:L138" si="49">I137*K137</f>
        <v>5071.2907500000001</v>
      </c>
    </row>
    <row r="138" spans="4:14" ht="38.25">
      <c r="D138" s="42" t="s">
        <v>555</v>
      </c>
      <c r="E138" s="11" t="s">
        <v>22</v>
      </c>
      <c r="F138" s="11">
        <v>4917</v>
      </c>
      <c r="G138" s="12" t="s">
        <v>29</v>
      </c>
      <c r="H138" s="11" t="s">
        <v>13</v>
      </c>
      <c r="I138" s="40">
        <v>4.32</v>
      </c>
      <c r="J138" s="16">
        <v>465.73</v>
      </c>
      <c r="K138" s="14">
        <f t="shared" si="48"/>
        <v>582.16250000000002</v>
      </c>
      <c r="L138" s="14">
        <f t="shared" si="49"/>
        <v>2514.9420000000005</v>
      </c>
    </row>
    <row r="139" spans="4:14">
      <c r="D139" s="246" t="s">
        <v>130</v>
      </c>
      <c r="E139" s="247"/>
      <c r="F139" s="247"/>
      <c r="G139" s="247"/>
      <c r="H139" s="247"/>
      <c r="I139" s="247"/>
      <c r="J139" s="247"/>
      <c r="K139" s="248"/>
      <c r="L139" s="15">
        <f>SUM(L137:L138)</f>
        <v>7586.232750000001</v>
      </c>
      <c r="N139" s="37"/>
    </row>
    <row r="140" spans="4:14">
      <c r="D140" s="81">
        <v>14</v>
      </c>
      <c r="E140" s="243"/>
      <c r="F140" s="244"/>
      <c r="G140" s="82" t="s">
        <v>442</v>
      </c>
      <c r="H140" s="243"/>
      <c r="I140" s="245"/>
      <c r="J140" s="245"/>
      <c r="K140" s="245"/>
      <c r="L140" s="244"/>
      <c r="N140" s="37"/>
    </row>
    <row r="141" spans="4:14" ht="87" customHeight="1">
      <c r="D141" s="17" t="s">
        <v>122</v>
      </c>
      <c r="E141" s="131" t="s">
        <v>289</v>
      </c>
      <c r="F141" s="131" t="s">
        <v>603</v>
      </c>
      <c r="G141" s="132" t="s">
        <v>604</v>
      </c>
      <c r="H141" s="11" t="s">
        <v>13</v>
      </c>
      <c r="I141" s="18">
        <v>417.15</v>
      </c>
      <c r="J141" s="16">
        <v>12.52</v>
      </c>
      <c r="K141" s="14">
        <f t="shared" ref="K141:K143" si="50">J141*(1+$K$7)</f>
        <v>15.649999999999999</v>
      </c>
      <c r="L141" s="14">
        <f t="shared" ref="L141:L143" si="51">I141*K141</f>
        <v>6528.3974999999991</v>
      </c>
      <c r="N141" s="37"/>
    </row>
    <row r="142" spans="4:14" ht="25.5">
      <c r="D142" s="17" t="s">
        <v>435</v>
      </c>
      <c r="E142" s="11" t="s">
        <v>10</v>
      </c>
      <c r="F142" s="11">
        <v>88489</v>
      </c>
      <c r="G142" s="12" t="s">
        <v>53</v>
      </c>
      <c r="H142" s="11" t="s">
        <v>13</v>
      </c>
      <c r="I142" s="18">
        <v>1195.33</v>
      </c>
      <c r="J142" s="16">
        <v>11.95</v>
      </c>
      <c r="K142" s="14">
        <f t="shared" si="50"/>
        <v>14.9375</v>
      </c>
      <c r="L142" s="14">
        <f t="shared" si="51"/>
        <v>17855.241875</v>
      </c>
      <c r="N142" s="37"/>
    </row>
    <row r="143" spans="4:14" ht="51">
      <c r="D143" s="17" t="s">
        <v>556</v>
      </c>
      <c r="E143" s="11" t="s">
        <v>10</v>
      </c>
      <c r="F143" s="11">
        <v>100741</v>
      </c>
      <c r="G143" s="12" t="s">
        <v>521</v>
      </c>
      <c r="H143" s="11" t="s">
        <v>13</v>
      </c>
      <c r="I143" s="18">
        <v>213.32</v>
      </c>
      <c r="J143" s="16">
        <v>18.14</v>
      </c>
      <c r="K143" s="14">
        <f t="shared" si="50"/>
        <v>22.675000000000001</v>
      </c>
      <c r="L143" s="14">
        <f t="shared" si="51"/>
        <v>4837.0309999999999</v>
      </c>
    </row>
    <row r="144" spans="4:14">
      <c r="D144" s="246" t="s">
        <v>130</v>
      </c>
      <c r="E144" s="247"/>
      <c r="F144" s="247"/>
      <c r="G144" s="247"/>
      <c r="H144" s="247"/>
      <c r="I144" s="247"/>
      <c r="J144" s="247"/>
      <c r="K144" s="248"/>
      <c r="L144" s="15">
        <f>SUM(L141:L143)</f>
        <v>29220.670374999998</v>
      </c>
    </row>
    <row r="145" spans="4:12">
      <c r="D145" s="81">
        <v>15</v>
      </c>
      <c r="E145" s="243"/>
      <c r="F145" s="244"/>
      <c r="G145" s="82" t="s">
        <v>63</v>
      </c>
      <c r="H145" s="243"/>
      <c r="I145" s="245"/>
      <c r="J145" s="245"/>
      <c r="K145" s="245"/>
      <c r="L145" s="244"/>
    </row>
    <row r="146" spans="4:12" ht="25.5">
      <c r="D146" s="17" t="s">
        <v>123</v>
      </c>
      <c r="E146" s="11" t="s">
        <v>10</v>
      </c>
      <c r="F146" s="11">
        <v>99814</v>
      </c>
      <c r="G146" s="12" t="s">
        <v>55</v>
      </c>
      <c r="H146" s="11" t="s">
        <v>13</v>
      </c>
      <c r="I146" s="18">
        <v>532.15</v>
      </c>
      <c r="J146" s="16">
        <v>1.27</v>
      </c>
      <c r="K146" s="14">
        <f t="shared" ref="K146" si="52">J146*(1+$K$7)</f>
        <v>1.5874999999999999</v>
      </c>
      <c r="L146" s="14">
        <f t="shared" ref="L146" si="53">I146*K146</f>
        <v>844.78812499999992</v>
      </c>
    </row>
    <row r="147" spans="4:12">
      <c r="D147" s="246" t="s">
        <v>130</v>
      </c>
      <c r="E147" s="247"/>
      <c r="F147" s="247"/>
      <c r="G147" s="247"/>
      <c r="H147" s="247"/>
      <c r="I147" s="247"/>
      <c r="J147" s="247"/>
      <c r="K147" s="248"/>
      <c r="L147" s="15">
        <f>SUM(L146)</f>
        <v>844.78812499999992</v>
      </c>
    </row>
    <row r="148" spans="4:12" ht="29.45" customHeight="1">
      <c r="D148" s="249" t="s">
        <v>131</v>
      </c>
      <c r="E148" s="250"/>
      <c r="F148" s="250"/>
      <c r="G148" s="250"/>
      <c r="H148" s="250"/>
      <c r="I148" s="250"/>
      <c r="J148" s="250"/>
      <c r="K148" s="251"/>
      <c r="L148" s="89">
        <f>SUM(L57+L63+L72+L84+L87+L94+L103+L106+L110+L116+L121+L135+L139+L144+L147)</f>
        <v>956579.00137499964</v>
      </c>
    </row>
    <row r="149" spans="4:12">
      <c r="D149" s="237"/>
      <c r="E149" s="238"/>
      <c r="F149" s="238"/>
      <c r="G149" s="238"/>
      <c r="H149" s="238"/>
      <c r="I149" s="238"/>
      <c r="J149" s="238"/>
      <c r="K149" s="238"/>
      <c r="L149" s="239"/>
    </row>
    <row r="150" spans="4:12">
      <c r="D150" s="237"/>
      <c r="E150" s="238"/>
      <c r="F150" s="238"/>
      <c r="G150" s="238"/>
      <c r="H150" s="238"/>
      <c r="I150" s="238"/>
      <c r="J150" s="238"/>
      <c r="K150" s="238"/>
      <c r="L150" s="239"/>
    </row>
    <row r="151" spans="4:12">
      <c r="D151" s="240" t="s">
        <v>397</v>
      </c>
      <c r="E151" s="241"/>
      <c r="F151" s="241"/>
      <c r="G151" s="241"/>
      <c r="H151" s="241"/>
      <c r="I151" s="241"/>
      <c r="J151" s="241"/>
      <c r="K151" s="241"/>
      <c r="L151" s="242"/>
    </row>
    <row r="152" spans="4:12">
      <c r="D152" s="81">
        <v>1</v>
      </c>
      <c r="E152" s="243"/>
      <c r="F152" s="244"/>
      <c r="G152" s="82" t="s">
        <v>132</v>
      </c>
      <c r="H152" s="243"/>
      <c r="I152" s="245"/>
      <c r="J152" s="245"/>
      <c r="K152" s="245"/>
      <c r="L152" s="244"/>
    </row>
    <row r="153" spans="4:12">
      <c r="D153" s="17" t="s">
        <v>14</v>
      </c>
      <c r="E153" s="4" t="s">
        <v>10</v>
      </c>
      <c r="F153" s="4">
        <v>38978</v>
      </c>
      <c r="G153" s="22" t="s">
        <v>133</v>
      </c>
      <c r="H153" s="4" t="s">
        <v>134</v>
      </c>
      <c r="I153" s="31">
        <v>47.17</v>
      </c>
      <c r="J153" s="32">
        <v>4.71</v>
      </c>
      <c r="K153" s="14">
        <f t="shared" ref="K153:K216" si="54">J153*(1+$K$7)</f>
        <v>5.8875000000000002</v>
      </c>
      <c r="L153" s="14">
        <f t="shared" ref="L153:L216" si="55">I153*K153</f>
        <v>277.71337500000004</v>
      </c>
    </row>
    <row r="154" spans="4:12">
      <c r="D154" s="17" t="s">
        <v>16</v>
      </c>
      <c r="E154" s="4" t="s">
        <v>10</v>
      </c>
      <c r="F154" s="4">
        <v>1031</v>
      </c>
      <c r="G154" s="22" t="s">
        <v>135</v>
      </c>
      <c r="H154" s="4" t="s">
        <v>136</v>
      </c>
      <c r="I154" s="31">
        <v>22</v>
      </c>
      <c r="J154" s="32">
        <v>14.22</v>
      </c>
      <c r="K154" s="14">
        <f t="shared" si="54"/>
        <v>17.775000000000002</v>
      </c>
      <c r="L154" s="14">
        <f t="shared" si="55"/>
        <v>391.05000000000007</v>
      </c>
    </row>
    <row r="155" spans="4:12" ht="63.75">
      <c r="D155" s="17" t="s">
        <v>19</v>
      </c>
      <c r="E155" s="4" t="s">
        <v>289</v>
      </c>
      <c r="F155" s="4" t="s">
        <v>593</v>
      </c>
      <c r="G155" s="22" t="s">
        <v>592</v>
      </c>
      <c r="H155" s="4" t="s">
        <v>136</v>
      </c>
      <c r="I155" s="31">
        <v>22</v>
      </c>
      <c r="J155" s="32">
        <v>42.09</v>
      </c>
      <c r="K155" s="14">
        <f t="shared" si="54"/>
        <v>52.612500000000004</v>
      </c>
      <c r="L155" s="14">
        <f t="shared" si="55"/>
        <v>1157.4750000000001</v>
      </c>
    </row>
    <row r="156" spans="4:12">
      <c r="D156" s="17" t="s">
        <v>213</v>
      </c>
      <c r="E156" s="4" t="s">
        <v>10</v>
      </c>
      <c r="F156" s="4">
        <v>9856</v>
      </c>
      <c r="G156" s="22" t="s">
        <v>137</v>
      </c>
      <c r="H156" s="4" t="s">
        <v>134</v>
      </c>
      <c r="I156" s="31">
        <v>0.28000000000000003</v>
      </c>
      <c r="J156" s="32">
        <v>9.19</v>
      </c>
      <c r="K156" s="14">
        <f t="shared" si="54"/>
        <v>11.487499999999999</v>
      </c>
      <c r="L156" s="14">
        <f>I156*K156</f>
        <v>3.2164999999999999</v>
      </c>
    </row>
    <row r="157" spans="4:12">
      <c r="D157" s="17" t="s">
        <v>214</v>
      </c>
      <c r="E157" s="4" t="s">
        <v>10</v>
      </c>
      <c r="F157" s="4">
        <v>9867</v>
      </c>
      <c r="G157" s="22" t="s">
        <v>138</v>
      </c>
      <c r="H157" s="4" t="s">
        <v>134</v>
      </c>
      <c r="I157" s="31">
        <v>47.17</v>
      </c>
      <c r="J157" s="32">
        <v>3.77</v>
      </c>
      <c r="K157" s="14">
        <f t="shared" si="54"/>
        <v>4.7125000000000004</v>
      </c>
      <c r="L157" s="14">
        <f t="shared" si="55"/>
        <v>222.28862500000002</v>
      </c>
    </row>
    <row r="158" spans="4:12">
      <c r="D158" s="17" t="s">
        <v>215</v>
      </c>
      <c r="E158" s="4" t="s">
        <v>10</v>
      </c>
      <c r="F158" s="4">
        <v>9868</v>
      </c>
      <c r="G158" s="22" t="s">
        <v>139</v>
      </c>
      <c r="H158" s="4" t="s">
        <v>134</v>
      </c>
      <c r="I158" s="31">
        <f>266.91+71.24</f>
        <v>338.15000000000003</v>
      </c>
      <c r="J158" s="32">
        <v>4.83</v>
      </c>
      <c r="K158" s="14">
        <f t="shared" si="54"/>
        <v>6.0374999999999996</v>
      </c>
      <c r="L158" s="14">
        <f t="shared" si="55"/>
        <v>2041.5806250000001</v>
      </c>
    </row>
    <row r="159" spans="4:12">
      <c r="D159" s="17" t="s">
        <v>216</v>
      </c>
      <c r="E159" s="4" t="s">
        <v>10</v>
      </c>
      <c r="F159" s="4">
        <v>9875</v>
      </c>
      <c r="G159" s="22" t="s">
        <v>140</v>
      </c>
      <c r="H159" s="4" t="s">
        <v>134</v>
      </c>
      <c r="I159" s="31">
        <f>46.4+66.48</f>
        <v>112.88</v>
      </c>
      <c r="J159" s="32">
        <v>18.09</v>
      </c>
      <c r="K159" s="14">
        <f t="shared" si="54"/>
        <v>22.612500000000001</v>
      </c>
      <c r="L159" s="14">
        <f t="shared" si="55"/>
        <v>2552.4989999999998</v>
      </c>
    </row>
    <row r="160" spans="4:12">
      <c r="D160" s="17" t="s">
        <v>217</v>
      </c>
      <c r="E160" s="4" t="s">
        <v>10</v>
      </c>
      <c r="F160" s="4">
        <v>9873</v>
      </c>
      <c r="G160" s="22" t="s">
        <v>141</v>
      </c>
      <c r="H160" s="4" t="s">
        <v>134</v>
      </c>
      <c r="I160" s="31">
        <v>70.89</v>
      </c>
      <c r="J160" s="32">
        <v>30.51</v>
      </c>
      <c r="K160" s="14">
        <f t="shared" si="54"/>
        <v>38.137500000000003</v>
      </c>
      <c r="L160" s="14">
        <f t="shared" si="55"/>
        <v>2703.5673750000001</v>
      </c>
    </row>
    <row r="161" spans="4:12">
      <c r="D161" s="17" t="s">
        <v>218</v>
      </c>
      <c r="E161" s="4" t="s">
        <v>10</v>
      </c>
      <c r="F161" s="4">
        <v>9871</v>
      </c>
      <c r="G161" s="22" t="s">
        <v>142</v>
      </c>
      <c r="H161" s="4" t="s">
        <v>134</v>
      </c>
      <c r="I161" s="31">
        <v>32.159999999999997</v>
      </c>
      <c r="J161" s="32">
        <v>51.12</v>
      </c>
      <c r="K161" s="14">
        <f t="shared" si="54"/>
        <v>63.9</v>
      </c>
      <c r="L161" s="14">
        <f t="shared" si="55"/>
        <v>2055.0239999999999</v>
      </c>
    </row>
    <row r="162" spans="4:12">
      <c r="D162" s="17" t="s">
        <v>219</v>
      </c>
      <c r="E162" s="4" t="s">
        <v>10</v>
      </c>
      <c r="F162" s="4">
        <v>9841</v>
      </c>
      <c r="G162" s="22" t="s">
        <v>143</v>
      </c>
      <c r="H162" s="4" t="s">
        <v>134</v>
      </c>
      <c r="I162" s="31">
        <f>60.12+233.01</f>
        <v>293.13</v>
      </c>
      <c r="J162" s="32">
        <v>43.81</v>
      </c>
      <c r="K162" s="14">
        <f t="shared" si="54"/>
        <v>54.762500000000003</v>
      </c>
      <c r="L162" s="14">
        <f t="shared" si="55"/>
        <v>16052.531625000001</v>
      </c>
    </row>
    <row r="163" spans="4:12">
      <c r="D163" s="17" t="s">
        <v>220</v>
      </c>
      <c r="E163" s="4" t="s">
        <v>10</v>
      </c>
      <c r="F163" s="4">
        <v>20067</v>
      </c>
      <c r="G163" s="22" t="s">
        <v>144</v>
      </c>
      <c r="H163" s="4" t="s">
        <v>134</v>
      </c>
      <c r="I163" s="31">
        <v>59.37</v>
      </c>
      <c r="J163" s="32">
        <v>15.3</v>
      </c>
      <c r="K163" s="14">
        <f t="shared" si="54"/>
        <v>19.125</v>
      </c>
      <c r="L163" s="14">
        <f t="shared" si="55"/>
        <v>1135.4512499999998</v>
      </c>
    </row>
    <row r="164" spans="4:12">
      <c r="D164" s="17" t="s">
        <v>221</v>
      </c>
      <c r="E164" s="4" t="s">
        <v>10</v>
      </c>
      <c r="F164" s="4">
        <v>9839</v>
      </c>
      <c r="G164" s="22" t="s">
        <v>145</v>
      </c>
      <c r="H164" s="4" t="s">
        <v>134</v>
      </c>
      <c r="I164" s="31">
        <v>8.7100000000000009</v>
      </c>
      <c r="J164" s="32">
        <v>25.01</v>
      </c>
      <c r="K164" s="14">
        <f t="shared" si="54"/>
        <v>31.262500000000003</v>
      </c>
      <c r="L164" s="14">
        <f t="shared" si="55"/>
        <v>272.29637500000007</v>
      </c>
    </row>
    <row r="165" spans="4:12">
      <c r="D165" s="17" t="s">
        <v>222</v>
      </c>
      <c r="E165" s="4" t="s">
        <v>10</v>
      </c>
      <c r="F165" s="4">
        <v>20068</v>
      </c>
      <c r="G165" s="22" t="s">
        <v>146</v>
      </c>
      <c r="H165" s="4" t="s">
        <v>134</v>
      </c>
      <c r="I165" s="31">
        <f>59.49+11.77</f>
        <v>71.260000000000005</v>
      </c>
      <c r="J165" s="32">
        <v>19.079999999999998</v>
      </c>
      <c r="K165" s="14">
        <f t="shared" si="54"/>
        <v>23.849999999999998</v>
      </c>
      <c r="L165" s="14">
        <f t="shared" si="55"/>
        <v>1699.5509999999999</v>
      </c>
    </row>
    <row r="166" spans="4:12">
      <c r="D166" s="17" t="s">
        <v>223</v>
      </c>
      <c r="E166" s="4" t="s">
        <v>10</v>
      </c>
      <c r="F166" s="4">
        <v>6010</v>
      </c>
      <c r="G166" s="22" t="s">
        <v>147</v>
      </c>
      <c r="H166" s="4" t="s">
        <v>136</v>
      </c>
      <c r="I166" s="31">
        <v>36</v>
      </c>
      <c r="J166" s="32">
        <v>91.17</v>
      </c>
      <c r="K166" s="14">
        <f t="shared" si="54"/>
        <v>113.96250000000001</v>
      </c>
      <c r="L166" s="14">
        <f t="shared" si="55"/>
        <v>4102.6500000000005</v>
      </c>
    </row>
    <row r="167" spans="4:12" ht="25.5">
      <c r="D167" s="17" t="s">
        <v>224</v>
      </c>
      <c r="E167" s="4" t="s">
        <v>10</v>
      </c>
      <c r="F167" s="4">
        <v>6024</v>
      </c>
      <c r="G167" s="22" t="s">
        <v>148</v>
      </c>
      <c r="H167" s="4" t="s">
        <v>136</v>
      </c>
      <c r="I167" s="31">
        <v>23</v>
      </c>
      <c r="J167" s="32">
        <v>77.239999999999995</v>
      </c>
      <c r="K167" s="14">
        <f t="shared" si="54"/>
        <v>96.55</v>
      </c>
      <c r="L167" s="14">
        <f t="shared" si="55"/>
        <v>2220.65</v>
      </c>
    </row>
    <row r="168" spans="4:12">
      <c r="D168" s="17" t="s">
        <v>225</v>
      </c>
      <c r="E168" s="4" t="s">
        <v>10</v>
      </c>
      <c r="F168" s="4">
        <v>6011</v>
      </c>
      <c r="G168" s="22" t="s">
        <v>149</v>
      </c>
      <c r="H168" s="4" t="s">
        <v>150</v>
      </c>
      <c r="I168" s="31">
        <v>3</v>
      </c>
      <c r="J168" s="32">
        <v>263.38</v>
      </c>
      <c r="K168" s="14">
        <f t="shared" si="54"/>
        <v>329.22500000000002</v>
      </c>
      <c r="L168" s="14">
        <f t="shared" si="55"/>
        <v>987.67500000000007</v>
      </c>
    </row>
    <row r="169" spans="4:12">
      <c r="D169" s="17" t="s">
        <v>226</v>
      </c>
      <c r="E169" s="4" t="s">
        <v>10</v>
      </c>
      <c r="F169" s="4">
        <v>6034</v>
      </c>
      <c r="G169" s="22" t="s">
        <v>151</v>
      </c>
      <c r="H169" s="4" t="s">
        <v>136</v>
      </c>
      <c r="I169" s="31">
        <v>1</v>
      </c>
      <c r="J169" s="32">
        <v>13.09</v>
      </c>
      <c r="K169" s="14">
        <f t="shared" si="54"/>
        <v>16.362500000000001</v>
      </c>
      <c r="L169" s="14">
        <f t="shared" si="55"/>
        <v>16.362500000000001</v>
      </c>
    </row>
    <row r="170" spans="4:12" ht="25.5">
      <c r="D170" s="17" t="s">
        <v>227</v>
      </c>
      <c r="E170" s="4" t="s">
        <v>10</v>
      </c>
      <c r="F170" s="4">
        <v>11670</v>
      </c>
      <c r="G170" s="22" t="s">
        <v>152</v>
      </c>
      <c r="H170" s="4" t="s">
        <v>136</v>
      </c>
      <c r="I170" s="31">
        <v>4</v>
      </c>
      <c r="J170" s="32">
        <v>22.14</v>
      </c>
      <c r="K170" s="14">
        <f t="shared" si="54"/>
        <v>27.675000000000001</v>
      </c>
      <c r="L170" s="14">
        <f t="shared" si="55"/>
        <v>110.7</v>
      </c>
    </row>
    <row r="171" spans="4:12" ht="25.5">
      <c r="D171" s="17" t="s">
        <v>228</v>
      </c>
      <c r="E171" s="4" t="s">
        <v>10</v>
      </c>
      <c r="F171" s="4">
        <v>107</v>
      </c>
      <c r="G171" s="22" t="s">
        <v>153</v>
      </c>
      <c r="H171" s="4" t="s">
        <v>136</v>
      </c>
      <c r="I171" s="31">
        <v>8</v>
      </c>
      <c r="J171" s="32">
        <v>0.93</v>
      </c>
      <c r="K171" s="14">
        <f t="shared" si="54"/>
        <v>1.1625000000000001</v>
      </c>
      <c r="L171" s="14">
        <f t="shared" si="55"/>
        <v>9.3000000000000007</v>
      </c>
    </row>
    <row r="172" spans="4:12">
      <c r="D172" s="17" t="s">
        <v>229</v>
      </c>
      <c r="E172" s="4" t="s">
        <v>10</v>
      </c>
      <c r="F172" s="4">
        <v>65</v>
      </c>
      <c r="G172" s="22" t="s">
        <v>154</v>
      </c>
      <c r="H172" s="4" t="s">
        <v>136</v>
      </c>
      <c r="I172" s="31">
        <v>95</v>
      </c>
      <c r="J172" s="32">
        <v>1.1399999999999999</v>
      </c>
      <c r="K172" s="14">
        <f t="shared" si="54"/>
        <v>1.4249999999999998</v>
      </c>
      <c r="L172" s="14">
        <f t="shared" si="55"/>
        <v>135.37499999999997</v>
      </c>
    </row>
    <row r="173" spans="4:12" ht="25.5">
      <c r="D173" s="17" t="s">
        <v>230</v>
      </c>
      <c r="E173" s="4" t="s">
        <v>10</v>
      </c>
      <c r="F173" s="4">
        <v>83</v>
      </c>
      <c r="G173" s="22" t="s">
        <v>155</v>
      </c>
      <c r="H173" s="4" t="s">
        <v>136</v>
      </c>
      <c r="I173" s="31">
        <v>3</v>
      </c>
      <c r="J173" s="32">
        <v>227.1</v>
      </c>
      <c r="K173" s="14">
        <f t="shared" si="54"/>
        <v>283.875</v>
      </c>
      <c r="L173" s="14">
        <f t="shared" si="55"/>
        <v>851.625</v>
      </c>
    </row>
    <row r="174" spans="4:12">
      <c r="D174" s="17" t="s">
        <v>231</v>
      </c>
      <c r="E174" s="4" t="s">
        <v>10</v>
      </c>
      <c r="F174" s="4">
        <v>112</v>
      </c>
      <c r="G174" s="22" t="s">
        <v>156</v>
      </c>
      <c r="H174" s="4" t="s">
        <v>136</v>
      </c>
      <c r="I174" s="31">
        <v>56</v>
      </c>
      <c r="J174" s="32">
        <v>5.74</v>
      </c>
      <c r="K174" s="14">
        <f t="shared" si="54"/>
        <v>7.1750000000000007</v>
      </c>
      <c r="L174" s="14">
        <f t="shared" si="55"/>
        <v>401.80000000000007</v>
      </c>
    </row>
    <row r="175" spans="4:12" ht="25.5">
      <c r="D175" s="17" t="s">
        <v>232</v>
      </c>
      <c r="E175" s="4" t="s">
        <v>10</v>
      </c>
      <c r="F175" s="4">
        <v>87</v>
      </c>
      <c r="G175" s="22" t="s">
        <v>157</v>
      </c>
      <c r="H175" s="4" t="s">
        <v>136</v>
      </c>
      <c r="I175" s="31">
        <v>3</v>
      </c>
      <c r="J175" s="32">
        <v>22.89</v>
      </c>
      <c r="K175" s="14">
        <f t="shared" si="54"/>
        <v>28.612500000000001</v>
      </c>
      <c r="L175" s="14">
        <f t="shared" si="55"/>
        <v>85.837500000000006</v>
      </c>
    </row>
    <row r="176" spans="4:12">
      <c r="D176" s="17" t="s">
        <v>233</v>
      </c>
      <c r="E176" s="4" t="s">
        <v>10</v>
      </c>
      <c r="F176" s="4">
        <v>10228</v>
      </c>
      <c r="G176" s="22" t="s">
        <v>158</v>
      </c>
      <c r="H176" s="4" t="s">
        <v>136</v>
      </c>
      <c r="I176" s="31">
        <v>22</v>
      </c>
      <c r="J176" s="32">
        <v>239.3</v>
      </c>
      <c r="K176" s="14">
        <f t="shared" si="54"/>
        <v>299.125</v>
      </c>
      <c r="L176" s="14">
        <f t="shared" si="55"/>
        <v>6580.75</v>
      </c>
    </row>
    <row r="177" spans="4:12">
      <c r="D177" s="17" t="s">
        <v>234</v>
      </c>
      <c r="E177" s="5" t="s">
        <v>10</v>
      </c>
      <c r="F177" s="4">
        <v>38643</v>
      </c>
      <c r="G177" s="22" t="s">
        <v>159</v>
      </c>
      <c r="H177" s="4" t="s">
        <v>136</v>
      </c>
      <c r="I177" s="31">
        <v>43</v>
      </c>
      <c r="J177" s="32">
        <v>40.49</v>
      </c>
      <c r="K177" s="14">
        <f t="shared" si="54"/>
        <v>50.612500000000004</v>
      </c>
      <c r="L177" s="14">
        <f t="shared" si="55"/>
        <v>2176.3375000000001</v>
      </c>
    </row>
    <row r="178" spans="4:12">
      <c r="D178" s="17" t="s">
        <v>235</v>
      </c>
      <c r="E178" s="4" t="s">
        <v>10</v>
      </c>
      <c r="F178" s="4">
        <v>6140</v>
      </c>
      <c r="G178" s="22" t="s">
        <v>160</v>
      </c>
      <c r="H178" s="4" t="s">
        <v>136</v>
      </c>
      <c r="I178" s="31">
        <v>22</v>
      </c>
      <c r="J178" s="32">
        <v>4.08</v>
      </c>
      <c r="K178" s="14">
        <f t="shared" si="54"/>
        <v>5.0999999999999996</v>
      </c>
      <c r="L178" s="14">
        <f t="shared" si="55"/>
        <v>112.19999999999999</v>
      </c>
    </row>
    <row r="179" spans="4:12">
      <c r="D179" s="17" t="s">
        <v>236</v>
      </c>
      <c r="E179" s="4" t="s">
        <v>10</v>
      </c>
      <c r="F179" s="4">
        <v>11743</v>
      </c>
      <c r="G179" s="22" t="s">
        <v>161</v>
      </c>
      <c r="H179" s="4" t="s">
        <v>136</v>
      </c>
      <c r="I179" s="31">
        <v>5</v>
      </c>
      <c r="J179" s="32">
        <v>8.4600000000000009</v>
      </c>
      <c r="K179" s="14">
        <f t="shared" si="54"/>
        <v>10.575000000000001</v>
      </c>
      <c r="L179" s="14">
        <f t="shared" si="55"/>
        <v>52.875000000000007</v>
      </c>
    </row>
    <row r="180" spans="4:12">
      <c r="D180" s="17" t="s">
        <v>237</v>
      </c>
      <c r="E180" s="4" t="s">
        <v>10</v>
      </c>
      <c r="F180" s="4">
        <v>1427</v>
      </c>
      <c r="G180" s="22" t="s">
        <v>162</v>
      </c>
      <c r="H180" s="4" t="s">
        <v>136</v>
      </c>
      <c r="I180" s="31">
        <v>1</v>
      </c>
      <c r="J180" s="32">
        <v>21.86</v>
      </c>
      <c r="K180" s="14">
        <f t="shared" si="54"/>
        <v>27.324999999999999</v>
      </c>
      <c r="L180" s="14">
        <f t="shared" si="55"/>
        <v>27.324999999999999</v>
      </c>
    </row>
    <row r="181" spans="4:12">
      <c r="D181" s="17" t="s">
        <v>238</v>
      </c>
      <c r="E181" s="4" t="s">
        <v>10</v>
      </c>
      <c r="F181" s="4">
        <v>6140</v>
      </c>
      <c r="G181" s="22" t="s">
        <v>163</v>
      </c>
      <c r="H181" s="4" t="s">
        <v>136</v>
      </c>
      <c r="I181" s="31">
        <v>34</v>
      </c>
      <c r="J181" s="32">
        <v>4.08</v>
      </c>
      <c r="K181" s="14">
        <f t="shared" si="54"/>
        <v>5.0999999999999996</v>
      </c>
      <c r="L181" s="14">
        <f t="shared" si="55"/>
        <v>173.39999999999998</v>
      </c>
    </row>
    <row r="182" spans="4:12" ht="25.5">
      <c r="D182" s="17" t="s">
        <v>239</v>
      </c>
      <c r="E182" s="4" t="s">
        <v>10</v>
      </c>
      <c r="F182" s="4">
        <v>10420</v>
      </c>
      <c r="G182" s="22" t="s">
        <v>164</v>
      </c>
      <c r="H182" s="4" t="s">
        <v>136</v>
      </c>
      <c r="I182" s="31">
        <v>22</v>
      </c>
      <c r="J182" s="32">
        <v>142.80000000000001</v>
      </c>
      <c r="K182" s="14">
        <f t="shared" si="54"/>
        <v>178.5</v>
      </c>
      <c r="L182" s="14">
        <f t="shared" si="55"/>
        <v>3927</v>
      </c>
    </row>
    <row r="183" spans="4:12">
      <c r="D183" s="17" t="s">
        <v>240</v>
      </c>
      <c r="E183" s="4" t="s">
        <v>10</v>
      </c>
      <c r="F183" s="4">
        <v>11717</v>
      </c>
      <c r="G183" s="22" t="s">
        <v>165</v>
      </c>
      <c r="H183" s="4" t="s">
        <v>136</v>
      </c>
      <c r="I183" s="31">
        <v>33</v>
      </c>
      <c r="J183" s="32">
        <v>45.32</v>
      </c>
      <c r="K183" s="14">
        <f t="shared" si="54"/>
        <v>56.65</v>
      </c>
      <c r="L183" s="14">
        <f t="shared" si="55"/>
        <v>1869.45</v>
      </c>
    </row>
    <row r="184" spans="4:12">
      <c r="D184" s="17" t="s">
        <v>241</v>
      </c>
      <c r="E184" s="4" t="s">
        <v>289</v>
      </c>
      <c r="F184" s="4" t="s">
        <v>594</v>
      </c>
      <c r="G184" s="6" t="s">
        <v>166</v>
      </c>
      <c r="H184" s="4" t="s">
        <v>136</v>
      </c>
      <c r="I184" s="31">
        <v>4</v>
      </c>
      <c r="J184" s="32">
        <v>1091.5999999999999</v>
      </c>
      <c r="K184" s="14">
        <f t="shared" si="54"/>
        <v>1364.5</v>
      </c>
      <c r="L184" s="14">
        <f t="shared" si="55"/>
        <v>5458</v>
      </c>
    </row>
    <row r="185" spans="4:12">
      <c r="D185" s="17" t="s">
        <v>242</v>
      </c>
      <c r="E185" s="5" t="s">
        <v>10</v>
      </c>
      <c r="F185" s="4">
        <v>11881</v>
      </c>
      <c r="G185" s="22" t="s">
        <v>167</v>
      </c>
      <c r="H185" s="4" t="s">
        <v>136</v>
      </c>
      <c r="I185" s="31">
        <v>4</v>
      </c>
      <c r="J185" s="32">
        <v>142.85</v>
      </c>
      <c r="K185" s="14">
        <f t="shared" si="54"/>
        <v>178.5625</v>
      </c>
      <c r="L185" s="14">
        <f t="shared" si="55"/>
        <v>714.25</v>
      </c>
    </row>
    <row r="186" spans="4:12" ht="53.25" customHeight="1">
      <c r="D186" s="17" t="s">
        <v>243</v>
      </c>
      <c r="E186" s="5" t="s">
        <v>289</v>
      </c>
      <c r="F186" s="4" t="s">
        <v>595</v>
      </c>
      <c r="G186" s="188" t="s">
        <v>597</v>
      </c>
      <c r="H186" s="4" t="s">
        <v>136</v>
      </c>
      <c r="I186" s="31">
        <v>20</v>
      </c>
      <c r="J186" s="32">
        <v>113.94</v>
      </c>
      <c r="K186" s="14">
        <f t="shared" si="54"/>
        <v>142.42500000000001</v>
      </c>
      <c r="L186" s="14">
        <f t="shared" si="55"/>
        <v>2848.5</v>
      </c>
    </row>
    <row r="187" spans="4:12">
      <c r="D187" s="17" t="s">
        <v>244</v>
      </c>
      <c r="E187" s="4" t="s">
        <v>10</v>
      </c>
      <c r="F187" s="4">
        <v>6149</v>
      </c>
      <c r="G187" s="22" t="s">
        <v>168</v>
      </c>
      <c r="H187" s="4" t="s">
        <v>136</v>
      </c>
      <c r="I187" s="31">
        <v>42</v>
      </c>
      <c r="J187" s="32">
        <v>14.51</v>
      </c>
      <c r="K187" s="14">
        <f t="shared" si="54"/>
        <v>18.137499999999999</v>
      </c>
      <c r="L187" s="14">
        <f t="shared" si="55"/>
        <v>761.77499999999998</v>
      </c>
    </row>
    <row r="188" spans="4:12">
      <c r="D188" s="17" t="s">
        <v>245</v>
      </c>
      <c r="E188" s="4" t="s">
        <v>10</v>
      </c>
      <c r="F188" s="4">
        <v>89406</v>
      </c>
      <c r="G188" s="22" t="s">
        <v>169</v>
      </c>
      <c r="H188" s="4" t="s">
        <v>136</v>
      </c>
      <c r="I188" s="31">
        <v>11</v>
      </c>
      <c r="J188" s="32">
        <v>6.46</v>
      </c>
      <c r="K188" s="14">
        <f t="shared" si="54"/>
        <v>8.0749999999999993</v>
      </c>
      <c r="L188" s="14">
        <f t="shared" si="55"/>
        <v>88.824999999999989</v>
      </c>
    </row>
    <row r="189" spans="4:12">
      <c r="D189" s="17" t="s">
        <v>246</v>
      </c>
      <c r="E189" s="4" t="s">
        <v>10</v>
      </c>
      <c r="F189" s="4">
        <v>1956</v>
      </c>
      <c r="G189" s="22" t="s">
        <v>170</v>
      </c>
      <c r="H189" s="4" t="s">
        <v>136</v>
      </c>
      <c r="I189" s="31">
        <f>96+41</f>
        <v>137</v>
      </c>
      <c r="J189" s="32">
        <v>4</v>
      </c>
      <c r="K189" s="14">
        <f t="shared" si="54"/>
        <v>5</v>
      </c>
      <c r="L189" s="14">
        <f t="shared" si="55"/>
        <v>685</v>
      </c>
    </row>
    <row r="190" spans="4:12">
      <c r="D190" s="17" t="s">
        <v>247</v>
      </c>
      <c r="E190" s="4" t="s">
        <v>10</v>
      </c>
      <c r="F190" s="4">
        <v>1959</v>
      </c>
      <c r="G190" s="22" t="s">
        <v>171</v>
      </c>
      <c r="H190" s="4" t="s">
        <v>136</v>
      </c>
      <c r="I190" s="31">
        <f>27+28</f>
        <v>55</v>
      </c>
      <c r="J190" s="32">
        <v>19.670000000000002</v>
      </c>
      <c r="K190" s="14">
        <f t="shared" si="54"/>
        <v>24.587500000000002</v>
      </c>
      <c r="L190" s="14">
        <f t="shared" si="55"/>
        <v>1352.3125000000002</v>
      </c>
    </row>
    <row r="191" spans="4:12" ht="25.5">
      <c r="D191" s="17" t="s">
        <v>248</v>
      </c>
      <c r="E191" s="4" t="s">
        <v>10</v>
      </c>
      <c r="F191" s="4">
        <v>1960</v>
      </c>
      <c r="G191" s="22" t="s">
        <v>598</v>
      </c>
      <c r="H191" s="4" t="s">
        <v>150</v>
      </c>
      <c r="I191" s="31">
        <v>7</v>
      </c>
      <c r="J191" s="32">
        <v>69.14</v>
      </c>
      <c r="K191" s="14">
        <f t="shared" si="54"/>
        <v>86.424999999999997</v>
      </c>
      <c r="L191" s="14">
        <f t="shared" si="55"/>
        <v>604.97500000000002</v>
      </c>
    </row>
    <row r="192" spans="4:12">
      <c r="D192" s="17" t="s">
        <v>249</v>
      </c>
      <c r="E192" s="4" t="s">
        <v>10</v>
      </c>
      <c r="F192" s="4">
        <v>1925</v>
      </c>
      <c r="G192" s="22" t="s">
        <v>173</v>
      </c>
      <c r="H192" s="4" t="s">
        <v>136</v>
      </c>
      <c r="I192" s="31">
        <v>11</v>
      </c>
      <c r="J192" s="32">
        <v>48.63</v>
      </c>
      <c r="K192" s="14">
        <f t="shared" si="54"/>
        <v>60.787500000000001</v>
      </c>
      <c r="L192" s="14">
        <f t="shared" si="55"/>
        <v>668.66250000000002</v>
      </c>
    </row>
    <row r="193" spans="4:12">
      <c r="D193" s="17" t="s">
        <v>250</v>
      </c>
      <c r="E193" s="4" t="s">
        <v>10</v>
      </c>
      <c r="F193" s="4">
        <v>1970</v>
      </c>
      <c r="G193" s="22" t="s">
        <v>522</v>
      </c>
      <c r="H193" s="4" t="s">
        <v>136</v>
      </c>
      <c r="I193" s="31">
        <v>21</v>
      </c>
      <c r="J193" s="32">
        <v>56.21</v>
      </c>
      <c r="K193" s="14">
        <f t="shared" si="54"/>
        <v>70.262500000000003</v>
      </c>
      <c r="L193" s="14">
        <f t="shared" si="55"/>
        <v>1475.5125</v>
      </c>
    </row>
    <row r="194" spans="4:12">
      <c r="D194" s="17" t="s">
        <v>251</v>
      </c>
      <c r="E194" s="4" t="s">
        <v>10</v>
      </c>
      <c r="F194" s="4">
        <v>1965</v>
      </c>
      <c r="G194" s="22" t="s">
        <v>174</v>
      </c>
      <c r="H194" s="4" t="s">
        <v>136</v>
      </c>
      <c r="I194" s="31">
        <v>24</v>
      </c>
      <c r="J194" s="32">
        <v>54.16</v>
      </c>
      <c r="K194" s="14">
        <f t="shared" si="54"/>
        <v>67.699999999999989</v>
      </c>
      <c r="L194" s="14">
        <f t="shared" si="55"/>
        <v>1624.7999999999997</v>
      </c>
    </row>
    <row r="195" spans="4:12" ht="38.450000000000003" customHeight="1">
      <c r="D195" s="17" t="s">
        <v>252</v>
      </c>
      <c r="E195" s="4" t="s">
        <v>10</v>
      </c>
      <c r="F195" s="4">
        <v>1368</v>
      </c>
      <c r="G195" s="22" t="s">
        <v>523</v>
      </c>
      <c r="H195" s="4" t="s">
        <v>136</v>
      </c>
      <c r="I195" s="31">
        <v>22</v>
      </c>
      <c r="J195" s="32">
        <v>66</v>
      </c>
      <c r="K195" s="14">
        <f t="shared" si="54"/>
        <v>82.5</v>
      </c>
      <c r="L195" s="14">
        <f t="shared" si="55"/>
        <v>1815</v>
      </c>
    </row>
    <row r="196" spans="4:12" ht="38.25">
      <c r="D196" s="17" t="s">
        <v>253</v>
      </c>
      <c r="E196" s="7" t="s">
        <v>10</v>
      </c>
      <c r="F196" s="7">
        <v>1370</v>
      </c>
      <c r="G196" s="22" t="s">
        <v>175</v>
      </c>
      <c r="H196" s="4" t="s">
        <v>176</v>
      </c>
      <c r="I196" s="31">
        <v>20</v>
      </c>
      <c r="J196" s="32">
        <v>89.87</v>
      </c>
      <c r="K196" s="14">
        <f t="shared" si="54"/>
        <v>112.33750000000001</v>
      </c>
      <c r="L196" s="14">
        <f t="shared" si="55"/>
        <v>2246.75</v>
      </c>
    </row>
    <row r="197" spans="4:12">
      <c r="D197" s="17" t="s">
        <v>254</v>
      </c>
      <c r="E197" s="4" t="s">
        <v>10</v>
      </c>
      <c r="F197" s="4">
        <v>10765</v>
      </c>
      <c r="G197" s="22" t="s">
        <v>177</v>
      </c>
      <c r="H197" s="4" t="s">
        <v>136</v>
      </c>
      <c r="I197" s="31">
        <v>22</v>
      </c>
      <c r="J197" s="32">
        <v>13.69</v>
      </c>
      <c r="K197" s="14">
        <f t="shared" si="54"/>
        <v>17.112500000000001</v>
      </c>
      <c r="L197" s="14">
        <f t="shared" si="55"/>
        <v>376.47500000000002</v>
      </c>
    </row>
    <row r="198" spans="4:12">
      <c r="D198" s="17" t="s">
        <v>255</v>
      </c>
      <c r="E198" s="4" t="s">
        <v>10</v>
      </c>
      <c r="F198" s="4">
        <v>1966</v>
      </c>
      <c r="G198" s="22" t="s">
        <v>178</v>
      </c>
      <c r="H198" s="4" t="s">
        <v>136</v>
      </c>
      <c r="I198" s="31">
        <v>22</v>
      </c>
      <c r="J198" s="32">
        <v>26.71</v>
      </c>
      <c r="K198" s="14">
        <f t="shared" si="54"/>
        <v>33.387500000000003</v>
      </c>
      <c r="L198" s="14">
        <f t="shared" si="55"/>
        <v>734.52500000000009</v>
      </c>
    </row>
    <row r="199" spans="4:12">
      <c r="D199" s="17" t="s">
        <v>256</v>
      </c>
      <c r="E199" s="4" t="s">
        <v>10</v>
      </c>
      <c r="F199" s="4">
        <v>89728</v>
      </c>
      <c r="G199" s="22" t="s">
        <v>179</v>
      </c>
      <c r="H199" s="4" t="s">
        <v>136</v>
      </c>
      <c r="I199" s="31">
        <v>45</v>
      </c>
      <c r="J199" s="32">
        <v>10.14</v>
      </c>
      <c r="K199" s="14">
        <f t="shared" si="54"/>
        <v>12.675000000000001</v>
      </c>
      <c r="L199" s="14">
        <f t="shared" si="55"/>
        <v>570.375</v>
      </c>
    </row>
    <row r="200" spans="4:12">
      <c r="D200" s="17" t="s">
        <v>257</v>
      </c>
      <c r="E200" s="4" t="s">
        <v>10</v>
      </c>
      <c r="F200" s="4">
        <v>89358</v>
      </c>
      <c r="G200" s="22" t="s">
        <v>180</v>
      </c>
      <c r="H200" s="4" t="s">
        <v>136</v>
      </c>
      <c r="I200" s="31">
        <v>1</v>
      </c>
      <c r="J200" s="32">
        <v>5.84</v>
      </c>
      <c r="K200" s="14">
        <f t="shared" si="54"/>
        <v>7.3</v>
      </c>
      <c r="L200" s="14">
        <f t="shared" si="55"/>
        <v>7.3</v>
      </c>
    </row>
    <row r="201" spans="4:12">
      <c r="D201" s="17" t="s">
        <v>258</v>
      </c>
      <c r="E201" s="4" t="s">
        <v>10</v>
      </c>
      <c r="F201" s="4">
        <v>20147</v>
      </c>
      <c r="G201" s="22" t="s">
        <v>181</v>
      </c>
      <c r="H201" s="4" t="s">
        <v>136</v>
      </c>
      <c r="I201" s="31">
        <v>44</v>
      </c>
      <c r="J201" s="32">
        <v>7.95</v>
      </c>
      <c r="K201" s="14">
        <f t="shared" si="54"/>
        <v>9.9375</v>
      </c>
      <c r="L201" s="14">
        <f t="shared" si="55"/>
        <v>437.25</v>
      </c>
    </row>
    <row r="202" spans="4:12">
      <c r="D202" s="17" t="s">
        <v>259</v>
      </c>
      <c r="E202" s="4" t="s">
        <v>10</v>
      </c>
      <c r="F202" s="4">
        <v>3489</v>
      </c>
      <c r="G202" s="22" t="s">
        <v>182</v>
      </c>
      <c r="H202" s="4" t="s">
        <v>136</v>
      </c>
      <c r="I202" s="31">
        <v>29</v>
      </c>
      <c r="J202" s="32">
        <v>17.329999999999998</v>
      </c>
      <c r="K202" s="14">
        <f t="shared" si="54"/>
        <v>21.662499999999998</v>
      </c>
      <c r="L202" s="14">
        <f t="shared" si="55"/>
        <v>628.21249999999998</v>
      </c>
    </row>
    <row r="203" spans="4:12">
      <c r="D203" s="17" t="s">
        <v>260</v>
      </c>
      <c r="E203" s="4" t="s">
        <v>10</v>
      </c>
      <c r="F203" s="4">
        <v>3481</v>
      </c>
      <c r="G203" s="22" t="s">
        <v>183</v>
      </c>
      <c r="H203" s="4" t="s">
        <v>136</v>
      </c>
      <c r="I203" s="31">
        <v>4</v>
      </c>
      <c r="J203" s="32">
        <v>18.77</v>
      </c>
      <c r="K203" s="14">
        <f t="shared" si="54"/>
        <v>23.462499999999999</v>
      </c>
      <c r="L203" s="14">
        <f t="shared" si="55"/>
        <v>93.85</v>
      </c>
    </row>
    <row r="204" spans="4:12">
      <c r="D204" s="17" t="s">
        <v>261</v>
      </c>
      <c r="E204" s="4" t="s">
        <v>10</v>
      </c>
      <c r="F204" s="4">
        <v>3521</v>
      </c>
      <c r="G204" s="22" t="s">
        <v>184</v>
      </c>
      <c r="H204" s="4" t="s">
        <v>136</v>
      </c>
      <c r="I204" s="31">
        <v>4</v>
      </c>
      <c r="J204" s="32">
        <v>2.58</v>
      </c>
      <c r="K204" s="14">
        <f t="shared" si="54"/>
        <v>3.2250000000000001</v>
      </c>
      <c r="L204" s="14">
        <f t="shared" si="55"/>
        <v>12.9</v>
      </c>
    </row>
    <row r="205" spans="4:12">
      <c r="D205" s="17" t="s">
        <v>262</v>
      </c>
      <c r="E205" s="4" t="s">
        <v>10</v>
      </c>
      <c r="F205" s="4">
        <v>38436</v>
      </c>
      <c r="G205" s="22" t="s">
        <v>185</v>
      </c>
      <c r="H205" s="4" t="s">
        <v>136</v>
      </c>
      <c r="I205" s="31">
        <v>28</v>
      </c>
      <c r="J205" s="32">
        <v>10.56</v>
      </c>
      <c r="K205" s="14">
        <f t="shared" si="54"/>
        <v>13.200000000000001</v>
      </c>
      <c r="L205" s="14">
        <f t="shared" si="55"/>
        <v>369.6</v>
      </c>
    </row>
    <row r="206" spans="4:12" ht="25.5">
      <c r="D206" s="17" t="s">
        <v>263</v>
      </c>
      <c r="E206" s="4" t="s">
        <v>10</v>
      </c>
      <c r="F206" s="4">
        <v>3481</v>
      </c>
      <c r="G206" s="22" t="s">
        <v>186</v>
      </c>
      <c r="H206" s="4" t="s">
        <v>136</v>
      </c>
      <c r="I206" s="31">
        <v>40</v>
      </c>
      <c r="J206" s="32">
        <v>18.77</v>
      </c>
      <c r="K206" s="14">
        <f t="shared" si="54"/>
        <v>23.462499999999999</v>
      </c>
      <c r="L206" s="14">
        <f t="shared" si="55"/>
        <v>938.5</v>
      </c>
    </row>
    <row r="207" spans="4:12">
      <c r="D207" s="17" t="s">
        <v>264</v>
      </c>
      <c r="E207" s="4" t="s">
        <v>10</v>
      </c>
      <c r="F207" s="4">
        <v>7138</v>
      </c>
      <c r="G207" s="22" t="s">
        <v>187</v>
      </c>
      <c r="H207" s="4" t="s">
        <v>136</v>
      </c>
      <c r="I207" s="31">
        <v>2</v>
      </c>
      <c r="J207" s="32">
        <v>1.23</v>
      </c>
      <c r="K207" s="14">
        <f t="shared" si="54"/>
        <v>1.5375000000000001</v>
      </c>
      <c r="L207" s="14">
        <f t="shared" si="55"/>
        <v>3.0750000000000002</v>
      </c>
    </row>
    <row r="208" spans="4:12">
      <c r="D208" s="17" t="s">
        <v>265</v>
      </c>
      <c r="E208" s="4" t="s">
        <v>10</v>
      </c>
      <c r="F208" s="4">
        <v>7139</v>
      </c>
      <c r="G208" s="22" t="s">
        <v>188</v>
      </c>
      <c r="H208" s="4" t="s">
        <v>136</v>
      </c>
      <c r="I208" s="31">
        <v>3</v>
      </c>
      <c r="J208" s="32">
        <v>1.61</v>
      </c>
      <c r="K208" s="14">
        <f t="shared" si="54"/>
        <v>2.0125000000000002</v>
      </c>
      <c r="L208" s="14">
        <f t="shared" si="55"/>
        <v>6.0375000000000005</v>
      </c>
    </row>
    <row r="209" spans="4:12">
      <c r="D209" s="17" t="s">
        <v>266</v>
      </c>
      <c r="E209" s="4" t="s">
        <v>10</v>
      </c>
      <c r="F209" s="4">
        <v>7142</v>
      </c>
      <c r="G209" s="22" t="s">
        <v>189</v>
      </c>
      <c r="H209" s="4" t="s">
        <v>136</v>
      </c>
      <c r="I209" s="31">
        <v>3</v>
      </c>
      <c r="J209" s="32">
        <v>13.14</v>
      </c>
      <c r="K209" s="14">
        <f t="shared" si="54"/>
        <v>16.425000000000001</v>
      </c>
      <c r="L209" s="14">
        <f t="shared" si="55"/>
        <v>49.275000000000006</v>
      </c>
    </row>
    <row r="210" spans="4:12">
      <c r="D210" s="17" t="s">
        <v>267</v>
      </c>
      <c r="E210" s="4" t="s">
        <v>10</v>
      </c>
      <c r="F210" s="4">
        <v>7143</v>
      </c>
      <c r="G210" s="22" t="s">
        <v>190</v>
      </c>
      <c r="H210" s="4" t="s">
        <v>136</v>
      </c>
      <c r="I210" s="31">
        <v>26</v>
      </c>
      <c r="J210" s="32">
        <v>39.159999999999997</v>
      </c>
      <c r="K210" s="14">
        <f t="shared" si="54"/>
        <v>48.949999999999996</v>
      </c>
      <c r="L210" s="14">
        <f t="shared" si="55"/>
        <v>1272.6999999999998</v>
      </c>
    </row>
    <row r="211" spans="4:12">
      <c r="D211" s="17" t="s">
        <v>268</v>
      </c>
      <c r="E211" s="4" t="s">
        <v>10</v>
      </c>
      <c r="F211" s="4">
        <v>7144</v>
      </c>
      <c r="G211" s="22" t="s">
        <v>191</v>
      </c>
      <c r="H211" s="4" t="s">
        <v>136</v>
      </c>
      <c r="I211" s="31">
        <v>3</v>
      </c>
      <c r="J211" s="32">
        <v>78.34</v>
      </c>
      <c r="K211" s="14">
        <f t="shared" si="54"/>
        <v>97.925000000000011</v>
      </c>
      <c r="L211" s="14">
        <f t="shared" si="55"/>
        <v>293.77500000000003</v>
      </c>
    </row>
    <row r="212" spans="4:12">
      <c r="D212" s="17" t="s">
        <v>269</v>
      </c>
      <c r="E212" s="4" t="s">
        <v>10</v>
      </c>
      <c r="F212" s="4">
        <v>7122</v>
      </c>
      <c r="G212" s="22" t="s">
        <v>192</v>
      </c>
      <c r="H212" s="4" t="s">
        <v>136</v>
      </c>
      <c r="I212" s="31">
        <v>5</v>
      </c>
      <c r="J212" s="32">
        <v>14.3</v>
      </c>
      <c r="K212" s="14">
        <f t="shared" si="54"/>
        <v>17.875</v>
      </c>
      <c r="L212" s="14">
        <f t="shared" si="55"/>
        <v>89.375</v>
      </c>
    </row>
    <row r="213" spans="4:12">
      <c r="D213" s="17" t="s">
        <v>270</v>
      </c>
      <c r="E213" s="4" t="s">
        <v>10</v>
      </c>
      <c r="F213" s="4">
        <v>7137</v>
      </c>
      <c r="G213" s="22" t="s">
        <v>193</v>
      </c>
      <c r="H213" s="4" t="s">
        <v>136</v>
      </c>
      <c r="I213" s="31">
        <v>10</v>
      </c>
      <c r="J213" s="32">
        <v>11.44</v>
      </c>
      <c r="K213" s="14">
        <f t="shared" si="54"/>
        <v>14.299999999999999</v>
      </c>
      <c r="L213" s="14">
        <f t="shared" si="55"/>
        <v>143</v>
      </c>
    </row>
    <row r="214" spans="4:12">
      <c r="D214" s="17" t="s">
        <v>271</v>
      </c>
      <c r="E214" s="4" t="s">
        <v>10</v>
      </c>
      <c r="F214" s="4">
        <v>7129</v>
      </c>
      <c r="G214" s="22" t="s">
        <v>194</v>
      </c>
      <c r="H214" s="4" t="s">
        <v>136</v>
      </c>
      <c r="I214" s="31">
        <v>31</v>
      </c>
      <c r="J214" s="32">
        <v>11.62</v>
      </c>
      <c r="K214" s="14">
        <f t="shared" si="54"/>
        <v>14.524999999999999</v>
      </c>
      <c r="L214" s="14">
        <f t="shared" si="55"/>
        <v>450.27499999999998</v>
      </c>
    </row>
    <row r="215" spans="4:12">
      <c r="D215" s="17" t="s">
        <v>272</v>
      </c>
      <c r="E215" s="4" t="s">
        <v>10</v>
      </c>
      <c r="F215" s="4">
        <v>7132</v>
      </c>
      <c r="G215" s="22" t="s">
        <v>195</v>
      </c>
      <c r="H215" s="4" t="s">
        <v>136</v>
      </c>
      <c r="I215" s="31">
        <v>5</v>
      </c>
      <c r="J215" s="32">
        <v>64.569999999999993</v>
      </c>
      <c r="K215" s="14">
        <f t="shared" si="54"/>
        <v>80.712499999999991</v>
      </c>
      <c r="L215" s="14">
        <f t="shared" si="55"/>
        <v>403.56249999999994</v>
      </c>
    </row>
    <row r="216" spans="4:12">
      <c r="D216" s="17" t="s">
        <v>273</v>
      </c>
      <c r="E216" s="4" t="s">
        <v>10</v>
      </c>
      <c r="F216" s="4">
        <v>7097</v>
      </c>
      <c r="G216" s="22" t="s">
        <v>196</v>
      </c>
      <c r="H216" s="4" t="s">
        <v>136</v>
      </c>
      <c r="I216" s="31">
        <v>18</v>
      </c>
      <c r="J216" s="32">
        <v>8.61</v>
      </c>
      <c r="K216" s="14">
        <f t="shared" si="54"/>
        <v>10.762499999999999</v>
      </c>
      <c r="L216" s="14">
        <f t="shared" si="55"/>
        <v>193.72499999999999</v>
      </c>
    </row>
    <row r="217" spans="4:12">
      <c r="D217" s="17" t="s">
        <v>274</v>
      </c>
      <c r="E217" s="4" t="s">
        <v>10</v>
      </c>
      <c r="F217" s="4">
        <v>813</v>
      </c>
      <c r="G217" s="22" t="s">
        <v>197</v>
      </c>
      <c r="H217" s="4" t="s">
        <v>136</v>
      </c>
      <c r="I217" s="31">
        <v>23</v>
      </c>
      <c r="J217" s="31">
        <v>5.42</v>
      </c>
      <c r="K217" s="14">
        <f t="shared" ref="K217:K231" si="56">J217*(1+$K$7)</f>
        <v>6.7750000000000004</v>
      </c>
      <c r="L217" s="14">
        <f t="shared" ref="L217:L231" si="57">I217*K217</f>
        <v>155.82500000000002</v>
      </c>
    </row>
    <row r="218" spans="4:12">
      <c r="D218" s="17" t="s">
        <v>275</v>
      </c>
      <c r="E218" s="4" t="s">
        <v>10</v>
      </c>
      <c r="F218" s="4">
        <v>822</v>
      </c>
      <c r="G218" s="22" t="s">
        <v>198</v>
      </c>
      <c r="H218" s="4" t="s">
        <v>136</v>
      </c>
      <c r="I218" s="31">
        <v>22</v>
      </c>
      <c r="J218" s="32">
        <v>18.63</v>
      </c>
      <c r="K218" s="14">
        <f t="shared" si="56"/>
        <v>23.287499999999998</v>
      </c>
      <c r="L218" s="14">
        <f t="shared" si="57"/>
        <v>512.32499999999993</v>
      </c>
    </row>
    <row r="219" spans="4:12">
      <c r="D219" s="17" t="s">
        <v>276</v>
      </c>
      <c r="E219" s="4" t="s">
        <v>10</v>
      </c>
      <c r="F219" s="4">
        <v>818</v>
      </c>
      <c r="G219" s="22" t="s">
        <v>199</v>
      </c>
      <c r="H219" s="4" t="s">
        <v>136</v>
      </c>
      <c r="I219" s="31">
        <v>15</v>
      </c>
      <c r="J219" s="32">
        <v>7.05</v>
      </c>
      <c r="K219" s="14">
        <f t="shared" si="56"/>
        <v>8.8125</v>
      </c>
      <c r="L219" s="14">
        <f t="shared" si="57"/>
        <v>132.1875</v>
      </c>
    </row>
    <row r="220" spans="4:12">
      <c r="D220" s="17" t="s">
        <v>277</v>
      </c>
      <c r="E220" s="4" t="s">
        <v>10</v>
      </c>
      <c r="F220" s="4">
        <v>823</v>
      </c>
      <c r="G220" s="22" t="s">
        <v>200</v>
      </c>
      <c r="H220" s="4" t="s">
        <v>136</v>
      </c>
      <c r="I220" s="31">
        <v>6</v>
      </c>
      <c r="J220" s="32">
        <v>21.23</v>
      </c>
      <c r="K220" s="14">
        <f t="shared" si="56"/>
        <v>26.537500000000001</v>
      </c>
      <c r="L220" s="14">
        <f t="shared" si="57"/>
        <v>159.22500000000002</v>
      </c>
    </row>
    <row r="221" spans="4:12" ht="25.5">
      <c r="D221" s="17" t="s">
        <v>278</v>
      </c>
      <c r="E221" s="4" t="s">
        <v>10</v>
      </c>
      <c r="F221" s="4">
        <v>3659</v>
      </c>
      <c r="G221" s="22" t="s">
        <v>201</v>
      </c>
      <c r="H221" s="4" t="s">
        <v>136</v>
      </c>
      <c r="I221" s="31">
        <v>29</v>
      </c>
      <c r="J221" s="32">
        <v>19.73</v>
      </c>
      <c r="K221" s="14">
        <f t="shared" si="56"/>
        <v>24.662500000000001</v>
      </c>
      <c r="L221" s="14">
        <f t="shared" si="57"/>
        <v>715.21250000000009</v>
      </c>
    </row>
    <row r="222" spans="4:12" ht="25.5">
      <c r="D222" s="17" t="s">
        <v>279</v>
      </c>
      <c r="E222" s="4" t="s">
        <v>10</v>
      </c>
      <c r="F222" s="4">
        <v>20144</v>
      </c>
      <c r="G222" s="22" t="s">
        <v>202</v>
      </c>
      <c r="H222" s="4" t="s">
        <v>136</v>
      </c>
      <c r="I222" s="31">
        <v>14</v>
      </c>
      <c r="J222" s="32">
        <v>71.180000000000007</v>
      </c>
      <c r="K222" s="14">
        <f t="shared" si="56"/>
        <v>88.975000000000009</v>
      </c>
      <c r="L222" s="14">
        <f t="shared" si="57"/>
        <v>1245.6500000000001</v>
      </c>
    </row>
    <row r="223" spans="4:12" ht="25.5">
      <c r="D223" s="17" t="s">
        <v>280</v>
      </c>
      <c r="E223" s="4" t="s">
        <v>10</v>
      </c>
      <c r="F223" s="4">
        <v>3662</v>
      </c>
      <c r="G223" s="22" t="s">
        <v>203</v>
      </c>
      <c r="H223" s="4" t="s">
        <v>136</v>
      </c>
      <c r="I223" s="31">
        <v>2</v>
      </c>
      <c r="J223" s="32">
        <v>10.74</v>
      </c>
      <c r="K223" s="14">
        <f t="shared" si="56"/>
        <v>13.425000000000001</v>
      </c>
      <c r="L223" s="14">
        <f t="shared" si="57"/>
        <v>26.85</v>
      </c>
    </row>
    <row r="224" spans="4:12" ht="25.5">
      <c r="D224" s="17" t="s">
        <v>281</v>
      </c>
      <c r="E224" s="4" t="s">
        <v>10</v>
      </c>
      <c r="F224" s="4">
        <v>3661</v>
      </c>
      <c r="G224" s="22" t="s">
        <v>204</v>
      </c>
      <c r="H224" s="4" t="s">
        <v>136</v>
      </c>
      <c r="I224" s="31">
        <v>2</v>
      </c>
      <c r="J224" s="32">
        <v>15.81</v>
      </c>
      <c r="K224" s="14">
        <f t="shared" si="56"/>
        <v>19.762499999999999</v>
      </c>
      <c r="L224" s="14">
        <f t="shared" si="57"/>
        <v>39.524999999999999</v>
      </c>
    </row>
    <row r="225" spans="4:12" ht="25.5">
      <c r="D225" s="17" t="s">
        <v>282</v>
      </c>
      <c r="E225" s="4" t="s">
        <v>10</v>
      </c>
      <c r="F225" s="4">
        <v>3658</v>
      </c>
      <c r="G225" s="22" t="s">
        <v>205</v>
      </c>
      <c r="H225" s="4" t="s">
        <v>136</v>
      </c>
      <c r="I225" s="31">
        <v>1</v>
      </c>
      <c r="J225" s="32">
        <v>20.12</v>
      </c>
      <c r="K225" s="14">
        <f t="shared" si="56"/>
        <v>25.150000000000002</v>
      </c>
      <c r="L225" s="14">
        <f t="shared" si="57"/>
        <v>25.150000000000002</v>
      </c>
    </row>
    <row r="226" spans="4:12">
      <c r="D226" s="17" t="s">
        <v>283</v>
      </c>
      <c r="E226" s="4" t="s">
        <v>10</v>
      </c>
      <c r="F226" s="4">
        <v>3497</v>
      </c>
      <c r="G226" s="22" t="s">
        <v>206</v>
      </c>
      <c r="H226" s="4" t="s">
        <v>136</v>
      </c>
      <c r="I226" s="31">
        <v>2</v>
      </c>
      <c r="J226" s="32">
        <v>19.100000000000001</v>
      </c>
      <c r="K226" s="14">
        <f t="shared" si="56"/>
        <v>23.875</v>
      </c>
      <c r="L226" s="14">
        <f t="shared" si="57"/>
        <v>47.75</v>
      </c>
    </row>
    <row r="227" spans="4:12">
      <c r="D227" s="17" t="s">
        <v>284</v>
      </c>
      <c r="E227" s="4" t="s">
        <v>10</v>
      </c>
      <c r="F227" s="4">
        <v>3906</v>
      </c>
      <c r="G227" s="22" t="s">
        <v>207</v>
      </c>
      <c r="H227" s="4" t="s">
        <v>136</v>
      </c>
      <c r="I227" s="31">
        <v>23</v>
      </c>
      <c r="J227" s="32">
        <v>2.12</v>
      </c>
      <c r="K227" s="14">
        <f t="shared" si="56"/>
        <v>2.6500000000000004</v>
      </c>
      <c r="L227" s="14">
        <f t="shared" si="57"/>
        <v>60.95000000000001</v>
      </c>
    </row>
    <row r="228" spans="4:12" ht="25.5">
      <c r="D228" s="17" t="s">
        <v>285</v>
      </c>
      <c r="E228" s="4" t="s">
        <v>10</v>
      </c>
      <c r="F228" s="4">
        <v>11772</v>
      </c>
      <c r="G228" s="22" t="s">
        <v>208</v>
      </c>
      <c r="H228" s="4" t="s">
        <v>136</v>
      </c>
      <c r="I228" s="31">
        <v>4</v>
      </c>
      <c r="J228" s="32">
        <v>112.91</v>
      </c>
      <c r="K228" s="14">
        <f t="shared" si="56"/>
        <v>141.13749999999999</v>
      </c>
      <c r="L228" s="14">
        <f t="shared" si="57"/>
        <v>564.54999999999995</v>
      </c>
    </row>
    <row r="229" spans="4:12">
      <c r="D229" s="17" t="s">
        <v>286</v>
      </c>
      <c r="E229" s="4" t="s">
        <v>10</v>
      </c>
      <c r="F229" s="4">
        <v>11762</v>
      </c>
      <c r="G229" s="22" t="s">
        <v>209</v>
      </c>
      <c r="H229" s="4" t="s">
        <v>136</v>
      </c>
      <c r="I229" s="31">
        <v>9</v>
      </c>
      <c r="J229" s="32">
        <v>66.53</v>
      </c>
      <c r="K229" s="14">
        <f t="shared" si="56"/>
        <v>83.162499999999994</v>
      </c>
      <c r="L229" s="14">
        <f t="shared" si="57"/>
        <v>748.46249999999998</v>
      </c>
    </row>
    <row r="230" spans="4:12" ht="25.5">
      <c r="D230" s="17" t="s">
        <v>287</v>
      </c>
      <c r="E230" s="4" t="s">
        <v>10</v>
      </c>
      <c r="F230" s="4">
        <v>13984</v>
      </c>
      <c r="G230" s="22" t="s">
        <v>210</v>
      </c>
      <c r="H230" s="4" t="s">
        <v>136</v>
      </c>
      <c r="I230" s="31">
        <v>34</v>
      </c>
      <c r="J230" s="32">
        <v>46.49</v>
      </c>
      <c r="K230" s="14">
        <f t="shared" si="56"/>
        <v>58.112500000000004</v>
      </c>
      <c r="L230" s="14">
        <f t="shared" si="57"/>
        <v>1975.825</v>
      </c>
    </row>
    <row r="231" spans="4:12" ht="89.25">
      <c r="D231" s="17" t="s">
        <v>584</v>
      </c>
      <c r="E231" s="4" t="s">
        <v>289</v>
      </c>
      <c r="F231" s="4" t="s">
        <v>586</v>
      </c>
      <c r="G231" s="22" t="s">
        <v>585</v>
      </c>
      <c r="H231" s="4" t="s">
        <v>136</v>
      </c>
      <c r="I231" s="31">
        <v>4</v>
      </c>
      <c r="J231" s="32">
        <v>596.91999999999996</v>
      </c>
      <c r="K231" s="14">
        <f t="shared" si="56"/>
        <v>746.15</v>
      </c>
      <c r="L231" s="14">
        <f t="shared" si="57"/>
        <v>2984.6</v>
      </c>
    </row>
    <row r="232" spans="4:12">
      <c r="D232" s="246" t="s">
        <v>130</v>
      </c>
      <c r="E232" s="247"/>
      <c r="F232" s="247"/>
      <c r="G232" s="247"/>
      <c r="H232" s="247"/>
      <c r="I232" s="247"/>
      <c r="J232" s="247"/>
      <c r="K232" s="248"/>
      <c r="L232" s="15">
        <f>SUM(L153:L231)</f>
        <v>91217.794749999986</v>
      </c>
    </row>
    <row r="233" spans="4:12">
      <c r="D233" s="81">
        <v>2</v>
      </c>
      <c r="E233" s="243"/>
      <c r="F233" s="244"/>
      <c r="G233" s="82" t="s">
        <v>288</v>
      </c>
      <c r="H233" s="243"/>
      <c r="I233" s="245"/>
      <c r="J233" s="245"/>
      <c r="K233" s="245"/>
      <c r="L233" s="244"/>
    </row>
    <row r="234" spans="4:12">
      <c r="D234" s="17" t="s">
        <v>62</v>
      </c>
      <c r="E234" s="4" t="s">
        <v>10</v>
      </c>
      <c r="F234" s="20" t="s">
        <v>524</v>
      </c>
      <c r="G234" s="22" t="s">
        <v>306</v>
      </c>
      <c r="H234" s="4" t="s">
        <v>136</v>
      </c>
      <c r="I234" s="31">
        <v>10</v>
      </c>
      <c r="J234" s="32">
        <v>24.74</v>
      </c>
      <c r="K234" s="14">
        <f t="shared" ref="K234:K244" si="58">J234*(1+$K$7)</f>
        <v>30.924999999999997</v>
      </c>
      <c r="L234" s="14">
        <f t="shared" ref="L234:L244" si="59">I234*K234</f>
        <v>309.25</v>
      </c>
    </row>
    <row r="235" spans="4:12">
      <c r="D235" s="17" t="s">
        <v>69</v>
      </c>
      <c r="E235" s="4" t="s">
        <v>289</v>
      </c>
      <c r="F235" s="20" t="s">
        <v>298</v>
      </c>
      <c r="G235" s="22" t="s">
        <v>307</v>
      </c>
      <c r="H235" s="4" t="s">
        <v>136</v>
      </c>
      <c r="I235" s="31">
        <v>6</v>
      </c>
      <c r="J235" s="32">
        <v>19.27</v>
      </c>
      <c r="K235" s="14">
        <f t="shared" si="58"/>
        <v>24.087499999999999</v>
      </c>
      <c r="L235" s="14">
        <f t="shared" si="59"/>
        <v>144.52499999999998</v>
      </c>
    </row>
    <row r="236" spans="4:12">
      <c r="D236" s="17" t="s">
        <v>71</v>
      </c>
      <c r="E236" s="4" t="s">
        <v>289</v>
      </c>
      <c r="F236" s="20" t="s">
        <v>299</v>
      </c>
      <c r="G236" s="22" t="s">
        <v>308</v>
      </c>
      <c r="H236" s="4" t="s">
        <v>136</v>
      </c>
      <c r="I236" s="31">
        <v>12</v>
      </c>
      <c r="J236" s="32">
        <v>19.27</v>
      </c>
      <c r="K236" s="14">
        <f t="shared" si="58"/>
        <v>24.087499999999999</v>
      </c>
      <c r="L236" s="14">
        <f t="shared" si="59"/>
        <v>289.04999999999995</v>
      </c>
    </row>
    <row r="237" spans="4:12">
      <c r="D237" s="17" t="s">
        <v>76</v>
      </c>
      <c r="E237" s="4" t="s">
        <v>290</v>
      </c>
      <c r="F237" s="20" t="s">
        <v>300</v>
      </c>
      <c r="G237" s="22" t="s">
        <v>309</v>
      </c>
      <c r="H237" s="4" t="s">
        <v>136</v>
      </c>
      <c r="I237" s="31">
        <v>33</v>
      </c>
      <c r="J237" s="32">
        <v>41.76</v>
      </c>
      <c r="K237" s="14">
        <f t="shared" si="58"/>
        <v>52.199999999999996</v>
      </c>
      <c r="L237" s="14">
        <f t="shared" si="59"/>
        <v>1722.6</v>
      </c>
    </row>
    <row r="238" spans="4:12" ht="30">
      <c r="D238" s="17" t="s">
        <v>291</v>
      </c>
      <c r="E238" s="4" t="s">
        <v>289</v>
      </c>
      <c r="F238" s="20" t="s">
        <v>599</v>
      </c>
      <c r="G238" s="188" t="s">
        <v>600</v>
      </c>
      <c r="H238" s="4" t="s">
        <v>136</v>
      </c>
      <c r="I238" s="31">
        <v>7</v>
      </c>
      <c r="J238" s="32">
        <v>142.65</v>
      </c>
      <c r="K238" s="14">
        <f t="shared" si="58"/>
        <v>178.3125</v>
      </c>
      <c r="L238" s="14">
        <f t="shared" si="59"/>
        <v>1248.1875</v>
      </c>
    </row>
    <row r="239" spans="4:12" ht="25.5">
      <c r="D239" s="17" t="s">
        <v>292</v>
      </c>
      <c r="E239" s="4" t="s">
        <v>290</v>
      </c>
      <c r="F239" s="20" t="s">
        <v>525</v>
      </c>
      <c r="G239" s="22" t="s">
        <v>601</v>
      </c>
      <c r="H239" s="4" t="s">
        <v>136</v>
      </c>
      <c r="I239" s="31">
        <v>3</v>
      </c>
      <c r="J239" s="32">
        <v>149.76</v>
      </c>
      <c r="K239" s="14">
        <f t="shared" si="58"/>
        <v>187.2</v>
      </c>
      <c r="L239" s="14">
        <f t="shared" si="59"/>
        <v>561.59999999999991</v>
      </c>
    </row>
    <row r="240" spans="4:12">
      <c r="D240" s="17" t="s">
        <v>293</v>
      </c>
      <c r="E240" s="4" t="s">
        <v>10</v>
      </c>
      <c r="F240" s="20" t="s">
        <v>301</v>
      </c>
      <c r="G240" s="22" t="s">
        <v>311</v>
      </c>
      <c r="H240" s="4" t="s">
        <v>136</v>
      </c>
      <c r="I240" s="31">
        <v>4</v>
      </c>
      <c r="J240" s="32">
        <v>537.46</v>
      </c>
      <c r="K240" s="14">
        <f t="shared" si="58"/>
        <v>671.82500000000005</v>
      </c>
      <c r="L240" s="14">
        <f t="shared" si="59"/>
        <v>2687.3</v>
      </c>
    </row>
    <row r="241" spans="4:12" ht="25.5">
      <c r="D241" s="17" t="s">
        <v>294</v>
      </c>
      <c r="E241" s="4" t="s">
        <v>289</v>
      </c>
      <c r="F241" s="20" t="s">
        <v>302</v>
      </c>
      <c r="G241" s="22" t="s">
        <v>312</v>
      </c>
      <c r="H241" s="4" t="s">
        <v>136</v>
      </c>
      <c r="I241" s="31">
        <v>1</v>
      </c>
      <c r="J241" s="32">
        <v>109.73</v>
      </c>
      <c r="K241" s="14">
        <f t="shared" si="58"/>
        <v>137.16249999999999</v>
      </c>
      <c r="L241" s="14">
        <f t="shared" si="59"/>
        <v>137.16249999999999</v>
      </c>
    </row>
    <row r="242" spans="4:12">
      <c r="D242" s="17" t="s">
        <v>295</v>
      </c>
      <c r="E242" s="4" t="s">
        <v>289</v>
      </c>
      <c r="F242" s="20" t="s">
        <v>303</v>
      </c>
      <c r="G242" s="22" t="s">
        <v>313</v>
      </c>
      <c r="H242" s="4" t="s">
        <v>136</v>
      </c>
      <c r="I242" s="31">
        <v>1</v>
      </c>
      <c r="J242" s="32">
        <v>429.99</v>
      </c>
      <c r="K242" s="14">
        <f t="shared" si="58"/>
        <v>537.48749999999995</v>
      </c>
      <c r="L242" s="14">
        <f t="shared" si="59"/>
        <v>537.48749999999995</v>
      </c>
    </row>
    <row r="243" spans="4:12">
      <c r="D243" s="17" t="s">
        <v>296</v>
      </c>
      <c r="E243" s="19" t="s">
        <v>289</v>
      </c>
      <c r="F243" s="21" t="s">
        <v>304</v>
      </c>
      <c r="G243" s="23" t="s">
        <v>314</v>
      </c>
      <c r="H243" s="19" t="s">
        <v>136</v>
      </c>
      <c r="I243" s="98">
        <v>1</v>
      </c>
      <c r="J243" s="99">
        <v>54.85</v>
      </c>
      <c r="K243" s="14">
        <f t="shared" si="58"/>
        <v>68.5625</v>
      </c>
      <c r="L243" s="14">
        <f t="shared" si="59"/>
        <v>68.5625</v>
      </c>
    </row>
    <row r="244" spans="4:12" ht="25.5">
      <c r="D244" s="17" t="s">
        <v>297</v>
      </c>
      <c r="E244" s="19" t="s">
        <v>289</v>
      </c>
      <c r="F244" s="21" t="s">
        <v>305</v>
      </c>
      <c r="G244" s="23" t="s">
        <v>315</v>
      </c>
      <c r="H244" s="19" t="s">
        <v>136</v>
      </c>
      <c r="I244" s="98">
        <v>4</v>
      </c>
      <c r="J244" s="99">
        <v>15.25</v>
      </c>
      <c r="K244" s="14">
        <f t="shared" si="58"/>
        <v>19.0625</v>
      </c>
      <c r="L244" s="14">
        <f t="shared" si="59"/>
        <v>76.25</v>
      </c>
    </row>
    <row r="245" spans="4:12">
      <c r="D245" s="246" t="s">
        <v>130</v>
      </c>
      <c r="E245" s="247"/>
      <c r="F245" s="247"/>
      <c r="G245" s="247"/>
      <c r="H245" s="247"/>
      <c r="I245" s="247"/>
      <c r="J245" s="247"/>
      <c r="K245" s="248"/>
      <c r="L245" s="15">
        <f>SUM(L234:L244)</f>
        <v>7781.9750000000004</v>
      </c>
    </row>
    <row r="246" spans="4:12">
      <c r="D246" s="81">
        <v>3</v>
      </c>
      <c r="E246" s="243"/>
      <c r="F246" s="244"/>
      <c r="G246" s="82" t="s">
        <v>316</v>
      </c>
      <c r="H246" s="243"/>
      <c r="I246" s="245"/>
      <c r="J246" s="245"/>
      <c r="K246" s="245"/>
      <c r="L246" s="244"/>
    </row>
    <row r="247" spans="4:12" ht="32.450000000000003" customHeight="1">
      <c r="D247" s="17" t="s">
        <v>21</v>
      </c>
      <c r="E247" s="24" t="s">
        <v>290</v>
      </c>
      <c r="F247" s="24">
        <v>38076</v>
      </c>
      <c r="G247" s="108" t="s">
        <v>317</v>
      </c>
      <c r="H247" s="52" t="s">
        <v>136</v>
      </c>
      <c r="I247" s="100">
        <v>8</v>
      </c>
      <c r="J247" s="101">
        <v>16.7</v>
      </c>
      <c r="K247" s="14">
        <f t="shared" ref="K247:K289" si="60">J247*(1+$K$7)</f>
        <v>20.875</v>
      </c>
      <c r="L247" s="14">
        <f t="shared" ref="L247:L289" si="61">I247*K247</f>
        <v>167</v>
      </c>
    </row>
    <row r="248" spans="4:12" ht="15.6" customHeight="1">
      <c r="D248" s="17" t="s">
        <v>23</v>
      </c>
      <c r="E248" s="24" t="s">
        <v>290</v>
      </c>
      <c r="F248" s="24">
        <v>38075</v>
      </c>
      <c r="G248" s="108" t="s">
        <v>318</v>
      </c>
      <c r="H248" s="52" t="s">
        <v>136</v>
      </c>
      <c r="I248" s="100">
        <f>41+39+77</f>
        <v>157</v>
      </c>
      <c r="J248" s="101">
        <v>14.89</v>
      </c>
      <c r="K248" s="14">
        <f t="shared" si="60"/>
        <v>18.612500000000001</v>
      </c>
      <c r="L248" s="14">
        <f t="shared" si="61"/>
        <v>2922.1624999999999</v>
      </c>
    </row>
    <row r="249" spans="4:12">
      <c r="D249" s="17" t="s">
        <v>24</v>
      </c>
      <c r="E249" s="24" t="s">
        <v>290</v>
      </c>
      <c r="F249" s="24">
        <v>38083</v>
      </c>
      <c r="G249" s="108" t="s">
        <v>319</v>
      </c>
      <c r="H249" s="52" t="s">
        <v>136</v>
      </c>
      <c r="I249" s="100">
        <v>7</v>
      </c>
      <c r="J249" s="102">
        <v>33.450000000000003</v>
      </c>
      <c r="K249" s="14">
        <f t="shared" si="60"/>
        <v>41.8125</v>
      </c>
      <c r="L249" s="14">
        <f t="shared" si="61"/>
        <v>292.6875</v>
      </c>
    </row>
    <row r="250" spans="4:12">
      <c r="D250" s="17" t="s">
        <v>25</v>
      </c>
      <c r="E250" s="24" t="s">
        <v>290</v>
      </c>
      <c r="F250" s="24">
        <v>38097</v>
      </c>
      <c r="G250" s="108" t="s">
        <v>320</v>
      </c>
      <c r="H250" s="52" t="s">
        <v>136</v>
      </c>
      <c r="I250" s="100">
        <v>7</v>
      </c>
      <c r="J250" s="101">
        <v>5.53</v>
      </c>
      <c r="K250" s="14">
        <f t="shared" si="60"/>
        <v>6.9125000000000005</v>
      </c>
      <c r="L250" s="14">
        <f t="shared" si="61"/>
        <v>48.387500000000003</v>
      </c>
    </row>
    <row r="251" spans="4:12">
      <c r="D251" s="17" t="s">
        <v>26</v>
      </c>
      <c r="E251" s="24" t="s">
        <v>290</v>
      </c>
      <c r="F251" s="24">
        <v>38102</v>
      </c>
      <c r="G251" s="108" t="s">
        <v>321</v>
      </c>
      <c r="H251" s="52" t="s">
        <v>136</v>
      </c>
      <c r="I251" s="100">
        <v>16</v>
      </c>
      <c r="J251" s="101">
        <v>9.36</v>
      </c>
      <c r="K251" s="14">
        <f t="shared" si="60"/>
        <v>11.7</v>
      </c>
      <c r="L251" s="14">
        <f t="shared" si="61"/>
        <v>187.2</v>
      </c>
    </row>
    <row r="252" spans="4:12">
      <c r="D252" s="17" t="s">
        <v>27</v>
      </c>
      <c r="E252" s="24" t="s">
        <v>290</v>
      </c>
      <c r="F252" s="24">
        <v>2688</v>
      </c>
      <c r="G252" s="108" t="s">
        <v>322</v>
      </c>
      <c r="H252" s="52" t="s">
        <v>134</v>
      </c>
      <c r="I252" s="100">
        <v>1597.32</v>
      </c>
      <c r="J252" s="101">
        <v>2.2799999999999998</v>
      </c>
      <c r="K252" s="14">
        <f t="shared" si="60"/>
        <v>2.8499999999999996</v>
      </c>
      <c r="L252" s="14">
        <f t="shared" si="61"/>
        <v>4552.3619999999992</v>
      </c>
    </row>
    <row r="253" spans="4:12">
      <c r="D253" s="17" t="s">
        <v>85</v>
      </c>
      <c r="E253" s="24" t="s">
        <v>290</v>
      </c>
      <c r="F253" s="24">
        <v>38778</v>
      </c>
      <c r="G253" s="108" t="s">
        <v>323</v>
      </c>
      <c r="H253" s="52" t="s">
        <v>136</v>
      </c>
      <c r="I253" s="100">
        <f>63+2+46</f>
        <v>111</v>
      </c>
      <c r="J253" s="102">
        <v>7.09</v>
      </c>
      <c r="K253" s="14">
        <f t="shared" si="60"/>
        <v>8.8625000000000007</v>
      </c>
      <c r="L253" s="14">
        <f t="shared" si="61"/>
        <v>983.73750000000007</v>
      </c>
    </row>
    <row r="254" spans="4:12" ht="15.6" customHeight="1">
      <c r="D254" s="17" t="s">
        <v>361</v>
      </c>
      <c r="E254" s="24" t="s">
        <v>290</v>
      </c>
      <c r="F254" s="24">
        <v>2556</v>
      </c>
      <c r="G254" s="108" t="s">
        <v>324</v>
      </c>
      <c r="H254" s="52" t="s">
        <v>136</v>
      </c>
      <c r="I254" s="100">
        <f>23+12</f>
        <v>35</v>
      </c>
      <c r="J254" s="101">
        <v>2.06</v>
      </c>
      <c r="K254" s="14">
        <f t="shared" si="60"/>
        <v>2.5750000000000002</v>
      </c>
      <c r="L254" s="14">
        <f t="shared" si="61"/>
        <v>90.125</v>
      </c>
    </row>
    <row r="255" spans="4:12">
      <c r="D255" s="17" t="s">
        <v>362</v>
      </c>
      <c r="E255" s="24" t="s">
        <v>290</v>
      </c>
      <c r="F255" s="24">
        <v>2557</v>
      </c>
      <c r="G255" s="108" t="s">
        <v>325</v>
      </c>
      <c r="H255" s="52" t="s">
        <v>136</v>
      </c>
      <c r="I255" s="100">
        <f>80+41</f>
        <v>121</v>
      </c>
      <c r="J255" s="101">
        <v>4.37</v>
      </c>
      <c r="K255" s="14">
        <f t="shared" si="60"/>
        <v>5.4625000000000004</v>
      </c>
      <c r="L255" s="14">
        <f t="shared" si="61"/>
        <v>660.96250000000009</v>
      </c>
    </row>
    <row r="256" spans="4:12">
      <c r="D256" s="17" t="s">
        <v>363</v>
      </c>
      <c r="E256" s="24" t="s">
        <v>290</v>
      </c>
      <c r="F256" s="24">
        <v>39810</v>
      </c>
      <c r="G256" s="108" t="s">
        <v>326</v>
      </c>
      <c r="H256" s="52" t="s">
        <v>136</v>
      </c>
      <c r="I256" s="100">
        <v>3</v>
      </c>
      <c r="J256" s="101">
        <v>25.91</v>
      </c>
      <c r="K256" s="14">
        <f t="shared" si="60"/>
        <v>32.387500000000003</v>
      </c>
      <c r="L256" s="14">
        <f t="shared" si="61"/>
        <v>97.162500000000009</v>
      </c>
    </row>
    <row r="257" spans="4:12">
      <c r="D257" s="17" t="s">
        <v>364</v>
      </c>
      <c r="E257" s="24" t="s">
        <v>290</v>
      </c>
      <c r="F257" s="24">
        <v>38769</v>
      </c>
      <c r="G257" s="108" t="s">
        <v>327</v>
      </c>
      <c r="H257" s="52" t="s">
        <v>136</v>
      </c>
      <c r="I257" s="100">
        <f>3+10+9+3+8+9</f>
        <v>42</v>
      </c>
      <c r="J257" s="101">
        <v>62.58</v>
      </c>
      <c r="K257" s="14">
        <f t="shared" si="60"/>
        <v>78.224999999999994</v>
      </c>
      <c r="L257" s="14">
        <f t="shared" si="61"/>
        <v>3285.45</v>
      </c>
    </row>
    <row r="258" spans="4:12">
      <c r="D258" s="17" t="s">
        <v>365</v>
      </c>
      <c r="E258" s="24" t="s">
        <v>290</v>
      </c>
      <c r="F258" s="24">
        <v>38778</v>
      </c>
      <c r="G258" s="108" t="s">
        <v>328</v>
      </c>
      <c r="H258" s="52" t="s">
        <v>136</v>
      </c>
      <c r="I258" s="100">
        <v>27</v>
      </c>
      <c r="J258" s="102">
        <v>7.09</v>
      </c>
      <c r="K258" s="14">
        <f t="shared" si="60"/>
        <v>8.8625000000000007</v>
      </c>
      <c r="L258" s="14">
        <f t="shared" si="61"/>
        <v>239.28750000000002</v>
      </c>
    </row>
    <row r="259" spans="4:12">
      <c r="D259" s="17" t="s">
        <v>366</v>
      </c>
      <c r="E259" s="24" t="s">
        <v>290</v>
      </c>
      <c r="F259" s="24">
        <v>38128</v>
      </c>
      <c r="G259" s="108" t="s">
        <v>329</v>
      </c>
      <c r="H259" s="52" t="s">
        <v>136</v>
      </c>
      <c r="I259" s="100">
        <f>16+12</f>
        <v>28</v>
      </c>
      <c r="J259" s="101">
        <v>6.45</v>
      </c>
      <c r="K259" s="14">
        <f t="shared" si="60"/>
        <v>8.0625</v>
      </c>
      <c r="L259" s="14">
        <f t="shared" si="61"/>
        <v>225.75</v>
      </c>
    </row>
    <row r="260" spans="4:12">
      <c r="D260" s="17" t="s">
        <v>367</v>
      </c>
      <c r="E260" s="24" t="s">
        <v>290</v>
      </c>
      <c r="F260" s="24">
        <v>38072</v>
      </c>
      <c r="G260" s="108" t="s">
        <v>330</v>
      </c>
      <c r="H260" s="52" t="s">
        <v>136</v>
      </c>
      <c r="I260" s="100">
        <f>7+9</f>
        <v>16</v>
      </c>
      <c r="J260" s="101">
        <v>19.63</v>
      </c>
      <c r="K260" s="14">
        <f t="shared" si="60"/>
        <v>24.537499999999998</v>
      </c>
      <c r="L260" s="14">
        <f t="shared" si="61"/>
        <v>392.59999999999997</v>
      </c>
    </row>
    <row r="261" spans="4:12">
      <c r="D261" s="17" t="s">
        <v>368</v>
      </c>
      <c r="E261" s="24" t="s">
        <v>290</v>
      </c>
      <c r="F261" s="24">
        <v>38071</v>
      </c>
      <c r="G261" s="108" t="s">
        <v>331</v>
      </c>
      <c r="H261" s="52" t="s">
        <v>136</v>
      </c>
      <c r="I261" s="100">
        <f>15+4</f>
        <v>19</v>
      </c>
      <c r="J261" s="101">
        <v>16.2</v>
      </c>
      <c r="K261" s="14">
        <f t="shared" si="60"/>
        <v>20.25</v>
      </c>
      <c r="L261" s="14">
        <f t="shared" si="61"/>
        <v>384.75</v>
      </c>
    </row>
    <row r="262" spans="4:12">
      <c r="D262" s="17" t="s">
        <v>369</v>
      </c>
      <c r="E262" s="24" t="s">
        <v>290</v>
      </c>
      <c r="F262" s="24">
        <v>38070</v>
      </c>
      <c r="G262" s="108" t="s">
        <v>332</v>
      </c>
      <c r="H262" s="52" t="s">
        <v>136</v>
      </c>
      <c r="I262" s="100">
        <f>19+6</f>
        <v>25</v>
      </c>
      <c r="J262" s="101">
        <v>15.65</v>
      </c>
      <c r="K262" s="14">
        <f t="shared" si="60"/>
        <v>19.5625</v>
      </c>
      <c r="L262" s="14">
        <f t="shared" si="61"/>
        <v>489.0625</v>
      </c>
    </row>
    <row r="263" spans="4:12">
      <c r="D263" s="17" t="s">
        <v>370</v>
      </c>
      <c r="E263" s="24" t="s">
        <v>290</v>
      </c>
      <c r="F263" s="24">
        <v>38065</v>
      </c>
      <c r="G263" s="108" t="s">
        <v>333</v>
      </c>
      <c r="H263" s="52" t="s">
        <v>136</v>
      </c>
      <c r="I263" s="100">
        <f>5+1</f>
        <v>6</v>
      </c>
      <c r="J263" s="102">
        <v>26.43</v>
      </c>
      <c r="K263" s="14">
        <f t="shared" si="60"/>
        <v>33.037500000000001</v>
      </c>
      <c r="L263" s="14">
        <f t="shared" si="61"/>
        <v>198.22500000000002</v>
      </c>
    </row>
    <row r="264" spans="4:12">
      <c r="D264" s="17" t="s">
        <v>371</v>
      </c>
      <c r="E264" s="24" t="s">
        <v>290</v>
      </c>
      <c r="F264" s="24">
        <v>38080</v>
      </c>
      <c r="G264" s="108" t="s">
        <v>334</v>
      </c>
      <c r="H264" s="52" t="s">
        <v>136</v>
      </c>
      <c r="I264" s="100">
        <f>21+9</f>
        <v>30</v>
      </c>
      <c r="J264" s="102">
        <v>26.78</v>
      </c>
      <c r="K264" s="14">
        <f t="shared" si="60"/>
        <v>33.475000000000001</v>
      </c>
      <c r="L264" s="14">
        <f t="shared" si="61"/>
        <v>1004.25</v>
      </c>
    </row>
    <row r="265" spans="4:12">
      <c r="D265" s="17" t="s">
        <v>372</v>
      </c>
      <c r="E265" s="24" t="s">
        <v>290</v>
      </c>
      <c r="F265" s="24">
        <v>39762</v>
      </c>
      <c r="G265" s="108" t="s">
        <v>335</v>
      </c>
      <c r="H265" s="52" t="s">
        <v>136</v>
      </c>
      <c r="I265" s="100">
        <v>3</v>
      </c>
      <c r="J265" s="101">
        <v>793.98</v>
      </c>
      <c r="K265" s="14">
        <f t="shared" si="60"/>
        <v>992.47500000000002</v>
      </c>
      <c r="L265" s="14">
        <f t="shared" si="61"/>
        <v>2977.4250000000002</v>
      </c>
    </row>
    <row r="266" spans="4:12">
      <c r="D266" s="17" t="s">
        <v>373</v>
      </c>
      <c r="E266" s="24" t="s">
        <v>290</v>
      </c>
      <c r="F266" s="24">
        <v>984</v>
      </c>
      <c r="G266" s="108" t="s">
        <v>336</v>
      </c>
      <c r="H266" s="52" t="s">
        <v>337</v>
      </c>
      <c r="I266" s="100">
        <f>56.91+313.89+350.89</f>
        <v>721.68999999999994</v>
      </c>
      <c r="J266" s="32">
        <v>3.41</v>
      </c>
      <c r="K266" s="14">
        <f t="shared" si="60"/>
        <v>4.2625000000000002</v>
      </c>
      <c r="L266" s="14">
        <f t="shared" si="61"/>
        <v>3076.2036250000001</v>
      </c>
    </row>
    <row r="267" spans="4:12">
      <c r="D267" s="17" t="s">
        <v>374</v>
      </c>
      <c r="E267" s="24" t="s">
        <v>290</v>
      </c>
      <c r="F267" s="24">
        <v>984</v>
      </c>
      <c r="G267" s="108" t="s">
        <v>338</v>
      </c>
      <c r="H267" s="52" t="s">
        <v>134</v>
      </c>
      <c r="I267" s="100">
        <f>52.45+224.88+280.47</f>
        <v>557.79999999999995</v>
      </c>
      <c r="J267" s="32">
        <v>3.41</v>
      </c>
      <c r="K267" s="14">
        <f t="shared" si="60"/>
        <v>4.2625000000000002</v>
      </c>
      <c r="L267" s="14">
        <f t="shared" si="61"/>
        <v>2377.6224999999999</v>
      </c>
    </row>
    <row r="268" spans="4:12">
      <c r="D268" s="17" t="s">
        <v>375</v>
      </c>
      <c r="E268" s="24" t="s">
        <v>290</v>
      </c>
      <c r="F268" s="24">
        <v>984</v>
      </c>
      <c r="G268" s="108" t="s">
        <v>339</v>
      </c>
      <c r="H268" s="52" t="s">
        <v>134</v>
      </c>
      <c r="I268" s="100">
        <f>68.54+320.85+383.07</f>
        <v>772.46</v>
      </c>
      <c r="J268" s="32">
        <v>3.41</v>
      </c>
      <c r="K268" s="14">
        <f t="shared" si="60"/>
        <v>4.2625000000000002</v>
      </c>
      <c r="L268" s="14">
        <f t="shared" si="61"/>
        <v>3292.6107500000003</v>
      </c>
    </row>
    <row r="269" spans="4:12">
      <c r="D269" s="17" t="s">
        <v>376</v>
      </c>
      <c r="E269" s="24" t="s">
        <v>290</v>
      </c>
      <c r="F269" s="24">
        <v>984</v>
      </c>
      <c r="G269" s="108" t="s">
        <v>340</v>
      </c>
      <c r="H269" s="52" t="s">
        <v>134</v>
      </c>
      <c r="I269" s="100">
        <f>71.69+476.43+525.25</f>
        <v>1073.3699999999999</v>
      </c>
      <c r="J269" s="32">
        <v>3.41</v>
      </c>
      <c r="K269" s="14">
        <f t="shared" si="60"/>
        <v>4.2625000000000002</v>
      </c>
      <c r="L269" s="14">
        <f t="shared" si="61"/>
        <v>4575.2396250000002</v>
      </c>
    </row>
    <row r="270" spans="4:12">
      <c r="D270" s="17" t="s">
        <v>377</v>
      </c>
      <c r="E270" s="24" t="s">
        <v>290</v>
      </c>
      <c r="F270" s="24">
        <v>1008</v>
      </c>
      <c r="G270" s="27" t="s">
        <v>341</v>
      </c>
      <c r="H270" s="25" t="s">
        <v>134</v>
      </c>
      <c r="I270" s="103">
        <f>138.9+172.5</f>
        <v>311.39999999999998</v>
      </c>
      <c r="J270" s="102">
        <v>5.67</v>
      </c>
      <c r="K270" s="14">
        <f t="shared" si="60"/>
        <v>7.0875000000000004</v>
      </c>
      <c r="L270" s="14">
        <f t="shared" si="61"/>
        <v>2207.0475000000001</v>
      </c>
    </row>
    <row r="271" spans="4:12">
      <c r="D271" s="17" t="s">
        <v>378</v>
      </c>
      <c r="E271" s="24" t="s">
        <v>290</v>
      </c>
      <c r="F271" s="24">
        <v>1008</v>
      </c>
      <c r="G271" s="27" t="s">
        <v>342</v>
      </c>
      <c r="H271" s="25" t="s">
        <v>134</v>
      </c>
      <c r="I271" s="103">
        <f>69.45+86.25</f>
        <v>155.69999999999999</v>
      </c>
      <c r="J271" s="102">
        <v>5.67</v>
      </c>
      <c r="K271" s="14">
        <f t="shared" si="60"/>
        <v>7.0875000000000004</v>
      </c>
      <c r="L271" s="14">
        <f t="shared" si="61"/>
        <v>1103.5237500000001</v>
      </c>
    </row>
    <row r="272" spans="4:12">
      <c r="D272" s="17" t="s">
        <v>379</v>
      </c>
      <c r="E272" s="24" t="s">
        <v>290</v>
      </c>
      <c r="F272" s="25">
        <v>1014</v>
      </c>
      <c r="G272" s="108" t="s">
        <v>343</v>
      </c>
      <c r="H272" s="52" t="s">
        <v>134</v>
      </c>
      <c r="I272" s="100">
        <v>386.89</v>
      </c>
      <c r="J272" s="101">
        <v>2.1800000000000002</v>
      </c>
      <c r="K272" s="14">
        <f t="shared" si="60"/>
        <v>2.7250000000000001</v>
      </c>
      <c r="L272" s="14">
        <f t="shared" si="61"/>
        <v>1054.2752499999999</v>
      </c>
    </row>
    <row r="273" spans="4:12">
      <c r="D273" s="17" t="s">
        <v>380</v>
      </c>
      <c r="E273" s="24" t="s">
        <v>290</v>
      </c>
      <c r="F273" s="25">
        <v>1014</v>
      </c>
      <c r="G273" s="108" t="s">
        <v>344</v>
      </c>
      <c r="H273" s="52" t="s">
        <v>134</v>
      </c>
      <c r="I273" s="100">
        <v>337.48</v>
      </c>
      <c r="J273" s="102">
        <v>2.1800000000000002</v>
      </c>
      <c r="K273" s="14">
        <f t="shared" si="60"/>
        <v>2.7250000000000001</v>
      </c>
      <c r="L273" s="14">
        <f t="shared" si="61"/>
        <v>919.63300000000004</v>
      </c>
    </row>
    <row r="274" spans="4:12">
      <c r="D274" s="17" t="s">
        <v>381</v>
      </c>
      <c r="E274" s="24" t="s">
        <v>290</v>
      </c>
      <c r="F274" s="25">
        <v>1014</v>
      </c>
      <c r="G274" s="108" t="s">
        <v>345</v>
      </c>
      <c r="H274" s="52" t="s">
        <v>134</v>
      </c>
      <c r="I274" s="100">
        <v>347.24</v>
      </c>
      <c r="J274" s="101">
        <v>2.1800000000000002</v>
      </c>
      <c r="K274" s="14">
        <f t="shared" si="60"/>
        <v>2.7250000000000001</v>
      </c>
      <c r="L274" s="14">
        <f t="shared" si="61"/>
        <v>946.22900000000004</v>
      </c>
    </row>
    <row r="275" spans="4:12">
      <c r="D275" s="17" t="s">
        <v>382</v>
      </c>
      <c r="E275" s="24" t="s">
        <v>290</v>
      </c>
      <c r="F275" s="25">
        <v>1014</v>
      </c>
      <c r="G275" s="108" t="s">
        <v>346</v>
      </c>
      <c r="H275" s="52" t="s">
        <v>134</v>
      </c>
      <c r="I275" s="100">
        <v>372.24</v>
      </c>
      <c r="J275" s="102">
        <v>2.1800000000000002</v>
      </c>
      <c r="K275" s="14">
        <f t="shared" si="60"/>
        <v>2.7250000000000001</v>
      </c>
      <c r="L275" s="14">
        <f t="shared" si="61"/>
        <v>1014.354</v>
      </c>
    </row>
    <row r="276" spans="4:12">
      <c r="D276" s="17" t="s">
        <v>383</v>
      </c>
      <c r="E276" s="24" t="s">
        <v>290</v>
      </c>
      <c r="F276" s="25">
        <v>981</v>
      </c>
      <c r="G276" s="108" t="s">
        <v>347</v>
      </c>
      <c r="H276" s="52" t="s">
        <v>134</v>
      </c>
      <c r="I276" s="100">
        <v>134.34</v>
      </c>
      <c r="J276" s="102">
        <v>3.9</v>
      </c>
      <c r="K276" s="14">
        <f t="shared" si="60"/>
        <v>4.875</v>
      </c>
      <c r="L276" s="14">
        <f t="shared" si="61"/>
        <v>654.90750000000003</v>
      </c>
    </row>
    <row r="277" spans="4:12">
      <c r="D277" s="17" t="s">
        <v>384</v>
      </c>
      <c r="E277" s="24" t="s">
        <v>290</v>
      </c>
      <c r="F277" s="25">
        <v>981</v>
      </c>
      <c r="G277" s="108" t="s">
        <v>348</v>
      </c>
      <c r="H277" s="52" t="s">
        <v>134</v>
      </c>
      <c r="I277" s="100">
        <v>86.69</v>
      </c>
      <c r="J277" s="102">
        <v>3.9</v>
      </c>
      <c r="K277" s="14">
        <f t="shared" si="60"/>
        <v>4.875</v>
      </c>
      <c r="L277" s="14">
        <f t="shared" si="61"/>
        <v>422.61374999999998</v>
      </c>
    </row>
    <row r="278" spans="4:12">
      <c r="D278" s="17" t="s">
        <v>385</v>
      </c>
      <c r="E278" s="24" t="s">
        <v>290</v>
      </c>
      <c r="F278" s="25">
        <v>981</v>
      </c>
      <c r="G278" s="108" t="s">
        <v>349</v>
      </c>
      <c r="H278" s="52" t="s">
        <v>134</v>
      </c>
      <c r="I278" s="100">
        <v>85.21</v>
      </c>
      <c r="J278" s="102">
        <v>3.9</v>
      </c>
      <c r="K278" s="14">
        <f t="shared" si="60"/>
        <v>4.875</v>
      </c>
      <c r="L278" s="14">
        <f t="shared" si="61"/>
        <v>415.39874999999995</v>
      </c>
    </row>
    <row r="279" spans="4:12">
      <c r="D279" s="17" t="s">
        <v>386</v>
      </c>
      <c r="E279" s="24" t="s">
        <v>290</v>
      </c>
      <c r="F279" s="25">
        <v>981</v>
      </c>
      <c r="G279" s="108" t="s">
        <v>350</v>
      </c>
      <c r="H279" s="52" t="s">
        <v>134</v>
      </c>
      <c r="I279" s="100">
        <v>107.3</v>
      </c>
      <c r="J279" s="102">
        <v>3.9</v>
      </c>
      <c r="K279" s="14">
        <f t="shared" si="60"/>
        <v>4.875</v>
      </c>
      <c r="L279" s="14">
        <f t="shared" si="61"/>
        <v>523.08749999999998</v>
      </c>
    </row>
    <row r="280" spans="4:12">
      <c r="D280" s="17" t="s">
        <v>387</v>
      </c>
      <c r="E280" s="24" t="s">
        <v>290</v>
      </c>
      <c r="F280" s="25">
        <v>39232</v>
      </c>
      <c r="G280" s="108" t="s">
        <v>351</v>
      </c>
      <c r="H280" s="52" t="s">
        <v>134</v>
      </c>
      <c r="I280" s="100">
        <v>40.299999999999997</v>
      </c>
      <c r="J280" s="102">
        <v>23.05</v>
      </c>
      <c r="K280" s="14">
        <f t="shared" si="60"/>
        <v>28.8125</v>
      </c>
      <c r="L280" s="14">
        <f t="shared" si="61"/>
        <v>1161.14375</v>
      </c>
    </row>
    <row r="281" spans="4:12">
      <c r="D281" s="17" t="s">
        <v>388</v>
      </c>
      <c r="E281" s="24" t="s">
        <v>290</v>
      </c>
      <c r="F281" s="25">
        <v>39233</v>
      </c>
      <c r="G281" s="108" t="s">
        <v>352</v>
      </c>
      <c r="H281" s="52" t="s">
        <v>134</v>
      </c>
      <c r="I281" s="100">
        <f>21.84+37.43</f>
        <v>59.269999999999996</v>
      </c>
      <c r="J281" s="102">
        <v>31.69</v>
      </c>
      <c r="K281" s="14">
        <f t="shared" si="60"/>
        <v>39.612500000000004</v>
      </c>
      <c r="L281" s="14">
        <f t="shared" si="61"/>
        <v>2347.8328750000001</v>
      </c>
    </row>
    <row r="282" spans="4:12">
      <c r="D282" s="17" t="s">
        <v>389</v>
      </c>
      <c r="E282" s="24" t="s">
        <v>290</v>
      </c>
      <c r="F282" s="25">
        <v>39235</v>
      </c>
      <c r="G282" s="108" t="s">
        <v>353</v>
      </c>
      <c r="H282" s="52" t="s">
        <v>134</v>
      </c>
      <c r="I282" s="100">
        <f>21.84+37.43</f>
        <v>59.269999999999996</v>
      </c>
      <c r="J282" s="102">
        <v>65.42</v>
      </c>
      <c r="K282" s="14">
        <f t="shared" si="60"/>
        <v>81.775000000000006</v>
      </c>
      <c r="L282" s="14">
        <f t="shared" si="61"/>
        <v>4846.8042500000001</v>
      </c>
    </row>
    <row r="283" spans="4:12">
      <c r="D283" s="17" t="s">
        <v>390</v>
      </c>
      <c r="E283" s="24" t="s">
        <v>290</v>
      </c>
      <c r="F283" s="25">
        <v>39235</v>
      </c>
      <c r="G283" s="108" t="s">
        <v>354</v>
      </c>
      <c r="H283" s="52" t="s">
        <v>134</v>
      </c>
      <c r="I283" s="100">
        <f>21.84+37.43</f>
        <v>59.269999999999996</v>
      </c>
      <c r="J283" s="102">
        <v>65.42</v>
      </c>
      <c r="K283" s="14">
        <f t="shared" si="60"/>
        <v>81.775000000000006</v>
      </c>
      <c r="L283" s="14">
        <f t="shared" si="61"/>
        <v>4846.8042500000001</v>
      </c>
    </row>
    <row r="284" spans="4:12">
      <c r="D284" s="17" t="s">
        <v>391</v>
      </c>
      <c r="E284" s="24" t="s">
        <v>290</v>
      </c>
      <c r="F284" s="24">
        <v>2370</v>
      </c>
      <c r="G284" s="108" t="s">
        <v>355</v>
      </c>
      <c r="H284" s="52" t="s">
        <v>136</v>
      </c>
      <c r="I284" s="100">
        <v>4</v>
      </c>
      <c r="J284" s="101">
        <v>16.399999999999999</v>
      </c>
      <c r="K284" s="14">
        <f t="shared" si="60"/>
        <v>20.5</v>
      </c>
      <c r="L284" s="14">
        <f t="shared" si="61"/>
        <v>82</v>
      </c>
    </row>
    <row r="285" spans="4:12">
      <c r="D285" s="17" t="s">
        <v>392</v>
      </c>
      <c r="E285" s="24" t="s">
        <v>290</v>
      </c>
      <c r="F285" s="26">
        <v>2370</v>
      </c>
      <c r="G285" s="108" t="s">
        <v>356</v>
      </c>
      <c r="H285" s="52" t="s">
        <v>136</v>
      </c>
      <c r="I285" s="100">
        <v>13</v>
      </c>
      <c r="J285" s="101">
        <v>16.399999999999999</v>
      </c>
      <c r="K285" s="14">
        <f t="shared" si="60"/>
        <v>20.5</v>
      </c>
      <c r="L285" s="14">
        <f t="shared" si="61"/>
        <v>266.5</v>
      </c>
    </row>
    <row r="286" spans="4:12">
      <c r="D286" s="17" t="s">
        <v>393</v>
      </c>
      <c r="E286" s="24" t="s">
        <v>290</v>
      </c>
      <c r="F286" s="24">
        <v>2370</v>
      </c>
      <c r="G286" s="108" t="s">
        <v>357</v>
      </c>
      <c r="H286" s="52" t="s">
        <v>136</v>
      </c>
      <c r="I286" s="100">
        <v>1</v>
      </c>
      <c r="J286" s="101">
        <v>16.399999999999999</v>
      </c>
      <c r="K286" s="14">
        <f t="shared" si="60"/>
        <v>20.5</v>
      </c>
      <c r="L286" s="14">
        <f t="shared" si="61"/>
        <v>20.5</v>
      </c>
    </row>
    <row r="287" spans="4:12">
      <c r="D287" s="17" t="s">
        <v>394</v>
      </c>
      <c r="E287" s="24" t="s">
        <v>290</v>
      </c>
      <c r="F287" s="24">
        <v>2388</v>
      </c>
      <c r="G287" s="27" t="s">
        <v>358</v>
      </c>
      <c r="H287" s="52" t="s">
        <v>136</v>
      </c>
      <c r="I287" s="100">
        <f>16+5</f>
        <v>21</v>
      </c>
      <c r="J287" s="102">
        <v>88.26</v>
      </c>
      <c r="K287" s="14">
        <f t="shared" si="60"/>
        <v>110.325</v>
      </c>
      <c r="L287" s="14">
        <f t="shared" si="61"/>
        <v>2316.8250000000003</v>
      </c>
    </row>
    <row r="288" spans="4:12">
      <c r="D288" s="17" t="s">
        <v>395</v>
      </c>
      <c r="E288" s="24" t="s">
        <v>290</v>
      </c>
      <c r="F288" s="24">
        <v>2374</v>
      </c>
      <c r="G288" s="27" t="s">
        <v>359</v>
      </c>
      <c r="H288" s="52" t="s">
        <v>136</v>
      </c>
      <c r="I288" s="100">
        <v>2</v>
      </c>
      <c r="J288" s="102">
        <v>550.29999999999995</v>
      </c>
      <c r="K288" s="14">
        <f t="shared" si="60"/>
        <v>687.875</v>
      </c>
      <c r="L288" s="14">
        <f t="shared" si="61"/>
        <v>1375.75</v>
      </c>
    </row>
    <row r="289" spans="4:13">
      <c r="D289" s="17" t="s">
        <v>396</v>
      </c>
      <c r="E289" s="24" t="s">
        <v>290</v>
      </c>
      <c r="F289" s="24">
        <v>34729</v>
      </c>
      <c r="G289" s="27" t="s">
        <v>360</v>
      </c>
      <c r="H289" s="52" t="s">
        <v>136</v>
      </c>
      <c r="I289" s="100">
        <v>1</v>
      </c>
      <c r="J289" s="102">
        <v>1648.73</v>
      </c>
      <c r="K289" s="14">
        <f t="shared" si="60"/>
        <v>2060.9124999999999</v>
      </c>
      <c r="L289" s="14">
        <f t="shared" si="61"/>
        <v>2060.9124999999999</v>
      </c>
    </row>
    <row r="290" spans="4:13">
      <c r="D290" s="246" t="s">
        <v>130</v>
      </c>
      <c r="E290" s="247"/>
      <c r="F290" s="247"/>
      <c r="G290" s="247"/>
      <c r="H290" s="247"/>
      <c r="I290" s="247"/>
      <c r="J290" s="247"/>
      <c r="K290" s="248"/>
      <c r="L290" s="15">
        <f>SUM(L247:L289)</f>
        <v>61106.406125000001</v>
      </c>
    </row>
    <row r="291" spans="4:13" ht="33.6" customHeight="1">
      <c r="D291" s="249" t="s">
        <v>398</v>
      </c>
      <c r="E291" s="250"/>
      <c r="F291" s="250"/>
      <c r="G291" s="250"/>
      <c r="H291" s="250"/>
      <c r="I291" s="250"/>
      <c r="J291" s="250"/>
      <c r="K291" s="251"/>
      <c r="L291" s="89">
        <f>SUM(L232+L245+L290)</f>
        <v>160106.17587499999</v>
      </c>
    </row>
    <row r="292" spans="4:13" ht="10.9" customHeight="1">
      <c r="D292" s="77"/>
      <c r="E292" s="78"/>
      <c r="F292" s="78"/>
      <c r="G292" s="107"/>
      <c r="H292" s="78"/>
      <c r="I292" s="78"/>
      <c r="J292" s="78"/>
      <c r="K292" s="79"/>
      <c r="L292" s="90"/>
    </row>
    <row r="293" spans="4:13" ht="42.6" customHeight="1">
      <c r="D293" s="252" t="s">
        <v>399</v>
      </c>
      <c r="E293" s="253"/>
      <c r="F293" s="253"/>
      <c r="G293" s="253"/>
      <c r="H293" s="253"/>
      <c r="I293" s="253"/>
      <c r="J293" s="253"/>
      <c r="K293" s="254"/>
      <c r="L293" s="80">
        <f>SUM(L51+L148+L291)</f>
        <v>1266902.3793749996</v>
      </c>
    </row>
    <row r="294" spans="4:13" ht="15.75">
      <c r="D294" s="114"/>
      <c r="E294" s="53"/>
      <c r="F294" s="53"/>
      <c r="G294" s="53"/>
      <c r="H294" s="53"/>
      <c r="I294" s="53"/>
      <c r="J294" s="53"/>
      <c r="K294" s="53"/>
      <c r="L294" s="115"/>
    </row>
    <row r="295" spans="4:13" ht="15.75">
      <c r="D295" s="114"/>
      <c r="E295" s="53"/>
      <c r="F295" s="53"/>
      <c r="G295" s="53"/>
      <c r="H295" s="53"/>
      <c r="I295" s="53"/>
      <c r="J295" s="53"/>
      <c r="K295" s="53"/>
      <c r="L295" s="115"/>
    </row>
    <row r="296" spans="4:13" ht="15.75">
      <c r="D296" s="112"/>
      <c r="E296" s="95"/>
      <c r="F296" s="95"/>
      <c r="G296" s="116"/>
      <c r="H296" s="117"/>
      <c r="I296" s="118"/>
      <c r="J296" s="119"/>
      <c r="K296" s="3"/>
      <c r="L296" s="113"/>
    </row>
    <row r="297" spans="4:13">
      <c r="D297" s="222" t="s">
        <v>510</v>
      </c>
      <c r="E297" s="223"/>
      <c r="F297" s="223"/>
      <c r="G297" s="223"/>
      <c r="H297" s="223"/>
      <c r="I297" s="223"/>
      <c r="J297" s="223"/>
      <c r="K297" s="223"/>
      <c r="L297" s="224"/>
      <c r="M297" s="111"/>
    </row>
    <row r="298" spans="4:13">
      <c r="D298" s="222" t="s">
        <v>511</v>
      </c>
      <c r="E298" s="223"/>
      <c r="F298" s="223"/>
      <c r="G298" s="223"/>
      <c r="H298" s="223"/>
      <c r="I298" s="223"/>
      <c r="J298" s="223"/>
      <c r="K298" s="223"/>
      <c r="L298" s="224"/>
      <c r="M298" s="111"/>
    </row>
    <row r="299" spans="4:13">
      <c r="D299" s="222" t="s">
        <v>512</v>
      </c>
      <c r="E299" s="223"/>
      <c r="F299" s="223"/>
      <c r="G299" s="223"/>
      <c r="H299" s="223"/>
      <c r="I299" s="223"/>
      <c r="J299" s="223"/>
      <c r="K299" s="223"/>
      <c r="L299" s="224"/>
      <c r="M299" s="111"/>
    </row>
    <row r="300" spans="4:13">
      <c r="D300" s="225" t="s">
        <v>513</v>
      </c>
      <c r="E300" s="226"/>
      <c r="F300" s="226"/>
      <c r="G300" s="226"/>
      <c r="H300" s="226"/>
      <c r="I300" s="226"/>
      <c r="J300" s="226"/>
      <c r="K300" s="226"/>
      <c r="L300" s="227"/>
      <c r="M300" s="111"/>
    </row>
    <row r="301" spans="4:13" ht="15.75">
      <c r="D301" s="1"/>
      <c r="E301" s="95"/>
      <c r="F301" s="95"/>
      <c r="G301" s="109"/>
      <c r="H301" s="95"/>
      <c r="I301" s="2"/>
      <c r="J301" s="97"/>
      <c r="K301" s="3"/>
      <c r="L301" s="3"/>
    </row>
    <row r="302" spans="4:13" ht="15.75">
      <c r="D302" s="1"/>
      <c r="E302" s="95"/>
      <c r="F302" s="95"/>
      <c r="G302" s="109"/>
      <c r="H302" s="95"/>
      <c r="I302" s="2"/>
      <c r="J302" s="97"/>
      <c r="K302" s="3"/>
      <c r="L302" s="3"/>
    </row>
    <row r="303" spans="4:13" ht="15.75">
      <c r="D303" s="1"/>
      <c r="E303" s="95"/>
      <c r="F303" s="95"/>
      <c r="G303" s="109"/>
      <c r="H303" s="95"/>
      <c r="I303" s="2"/>
      <c r="J303" s="97"/>
      <c r="K303" s="3"/>
      <c r="L303" s="3"/>
    </row>
    <row r="304" spans="4:13" ht="15.75">
      <c r="D304" s="1"/>
      <c r="E304" s="95"/>
      <c r="F304" s="95"/>
      <c r="G304" s="109"/>
      <c r="H304" s="95"/>
      <c r="I304" s="2"/>
      <c r="J304" s="97"/>
      <c r="K304" s="3"/>
      <c r="L304" s="3"/>
    </row>
    <row r="305" spans="4:12" ht="15.75">
      <c r="D305" s="1"/>
      <c r="E305" s="95"/>
      <c r="F305" s="95"/>
      <c r="G305" s="109"/>
      <c r="H305" s="95"/>
      <c r="I305" s="2"/>
      <c r="J305" s="97"/>
      <c r="K305" s="3"/>
      <c r="L305" s="3"/>
    </row>
    <row r="306" spans="4:12" ht="15.75">
      <c r="D306" s="1"/>
      <c r="E306" s="95"/>
      <c r="F306" s="95"/>
      <c r="G306" s="109"/>
      <c r="H306" s="95"/>
      <c r="I306" s="2"/>
      <c r="J306" s="97"/>
      <c r="K306" s="3"/>
      <c r="L306" s="3"/>
    </row>
    <row r="307" spans="4:12" ht="15.75">
      <c r="D307" s="1"/>
      <c r="E307" s="95"/>
      <c r="F307" s="95"/>
      <c r="G307" s="109"/>
      <c r="H307" s="95"/>
      <c r="I307" s="2"/>
      <c r="J307" s="97"/>
      <c r="K307" s="3"/>
      <c r="L307" s="3"/>
    </row>
    <row r="308" spans="4:12" ht="15.75">
      <c r="D308" s="1"/>
      <c r="E308" s="95"/>
      <c r="F308" s="95"/>
      <c r="G308" s="109"/>
      <c r="H308" s="95"/>
      <c r="I308" s="2"/>
      <c r="J308" s="97"/>
      <c r="K308" s="3"/>
      <c r="L308" s="3"/>
    </row>
    <row r="309" spans="4:12" ht="15.75">
      <c r="D309" s="1"/>
      <c r="E309" s="95"/>
      <c r="F309" s="95"/>
      <c r="G309" s="109"/>
      <c r="H309" s="95"/>
      <c r="I309" s="2"/>
      <c r="J309" s="97"/>
      <c r="K309" s="3"/>
      <c r="L309" s="3"/>
    </row>
    <row r="310" spans="4:12" ht="15.75">
      <c r="D310" s="1"/>
      <c r="E310" s="95"/>
      <c r="F310" s="95"/>
      <c r="G310" s="109"/>
      <c r="H310" s="95"/>
      <c r="I310" s="2"/>
      <c r="J310" s="97"/>
      <c r="K310" s="3"/>
      <c r="L310" s="3"/>
    </row>
    <row r="311" spans="4:12" ht="15.75">
      <c r="D311" s="1"/>
      <c r="E311" s="95"/>
      <c r="F311" s="95"/>
      <c r="G311" s="109"/>
      <c r="H311" s="95"/>
      <c r="I311" s="2"/>
      <c r="J311" s="97"/>
      <c r="K311" s="3"/>
      <c r="L311" s="3"/>
    </row>
    <row r="312" spans="4:12" ht="15.75">
      <c r="D312" s="1"/>
      <c r="E312" s="95"/>
      <c r="F312" s="95"/>
      <c r="G312" s="109"/>
      <c r="H312" s="95"/>
      <c r="I312" s="2"/>
      <c r="J312" s="97"/>
      <c r="K312" s="3"/>
      <c r="L312" s="3"/>
    </row>
    <row r="313" spans="4:12" ht="15.75">
      <c r="D313" s="1"/>
      <c r="E313" s="95"/>
      <c r="F313" s="95"/>
      <c r="G313" s="109"/>
      <c r="H313" s="95"/>
      <c r="I313" s="2"/>
      <c r="J313" s="97"/>
      <c r="K313" s="3"/>
      <c r="L313" s="3"/>
    </row>
    <row r="314" spans="4:12" ht="15.75">
      <c r="D314" s="1"/>
      <c r="E314" s="95"/>
      <c r="F314" s="95"/>
      <c r="G314" s="109"/>
      <c r="H314" s="95"/>
      <c r="I314" s="2"/>
      <c r="J314" s="97"/>
      <c r="K314" s="3"/>
      <c r="L314" s="3"/>
    </row>
    <row r="315" spans="4:12" ht="15.75">
      <c r="D315" s="1"/>
      <c r="E315" s="95"/>
      <c r="F315" s="95"/>
      <c r="G315" s="109"/>
      <c r="H315" s="95"/>
      <c r="I315" s="2"/>
      <c r="J315" s="97"/>
      <c r="K315" s="3"/>
      <c r="L315" s="3"/>
    </row>
    <row r="316" spans="4:12" ht="15.75">
      <c r="D316" s="1"/>
      <c r="E316" s="95"/>
      <c r="F316" s="95"/>
      <c r="G316" s="109"/>
      <c r="H316" s="95"/>
      <c r="I316" s="2"/>
      <c r="J316" s="97"/>
      <c r="K316" s="3"/>
      <c r="L316" s="3"/>
    </row>
    <row r="317" spans="4:12" ht="15.75">
      <c r="D317" s="1"/>
      <c r="E317" s="95"/>
      <c r="F317" s="95"/>
      <c r="G317" s="109"/>
      <c r="H317" s="95"/>
      <c r="I317" s="2"/>
      <c r="J317" s="97"/>
      <c r="K317" s="3"/>
      <c r="L317" s="3"/>
    </row>
    <row r="318" spans="4:12" ht="15.75">
      <c r="D318" s="1"/>
      <c r="E318" s="95"/>
      <c r="F318" s="95"/>
      <c r="G318" s="109"/>
      <c r="H318" s="95"/>
      <c r="I318" s="2"/>
      <c r="J318" s="97"/>
      <c r="K318" s="3"/>
      <c r="L318" s="3"/>
    </row>
    <row r="319" spans="4:12" ht="15.75">
      <c r="D319" s="1"/>
      <c r="E319" s="95"/>
      <c r="F319" s="95"/>
      <c r="G319" s="109"/>
      <c r="H319" s="95"/>
      <c r="I319" s="2"/>
      <c r="J319" s="97"/>
      <c r="K319" s="3"/>
      <c r="L319" s="3"/>
    </row>
    <row r="320" spans="4:12" ht="15.75">
      <c r="D320" s="1"/>
      <c r="E320" s="95"/>
      <c r="F320" s="95"/>
      <c r="G320" s="109"/>
      <c r="H320" s="95"/>
      <c r="I320" s="2"/>
      <c r="J320" s="97"/>
      <c r="K320" s="3"/>
      <c r="L320" s="3"/>
    </row>
    <row r="321" spans="4:12" ht="15.75">
      <c r="D321" s="1"/>
      <c r="E321" s="95"/>
      <c r="F321" s="95"/>
      <c r="G321" s="109"/>
      <c r="H321" s="95"/>
      <c r="I321" s="2"/>
      <c r="J321" s="97"/>
      <c r="K321" s="3"/>
      <c r="L321" s="3"/>
    </row>
    <row r="322" spans="4:12" ht="15.75">
      <c r="D322" s="1"/>
      <c r="E322" s="95"/>
      <c r="F322" s="95"/>
      <c r="G322" s="109"/>
      <c r="H322" s="95"/>
      <c r="I322" s="2"/>
      <c r="J322" s="97"/>
      <c r="K322" s="3"/>
      <c r="L322" s="3"/>
    </row>
    <row r="323" spans="4:12" ht="15.75">
      <c r="D323" s="1"/>
      <c r="E323" s="95"/>
      <c r="F323" s="95"/>
      <c r="G323" s="109"/>
      <c r="H323" s="95"/>
      <c r="I323" s="2"/>
      <c r="J323" s="97"/>
      <c r="K323" s="3"/>
      <c r="L323" s="3"/>
    </row>
    <row r="324" spans="4:12" ht="15.75">
      <c r="D324" s="1"/>
      <c r="E324" s="95"/>
      <c r="F324" s="95"/>
      <c r="G324" s="109"/>
      <c r="H324" s="95"/>
      <c r="I324" s="2"/>
      <c r="J324" s="97"/>
      <c r="K324" s="3"/>
      <c r="L324" s="3"/>
    </row>
    <row r="325" spans="4:12" ht="15.75">
      <c r="D325" s="1"/>
      <c r="E325" s="95"/>
      <c r="F325" s="95"/>
      <c r="G325" s="109"/>
      <c r="H325" s="95"/>
      <c r="I325" s="2"/>
      <c r="J325" s="97"/>
      <c r="K325" s="3"/>
      <c r="L325" s="3"/>
    </row>
    <row r="326" spans="4:12" ht="15.75">
      <c r="D326" s="1"/>
      <c r="E326" s="95"/>
      <c r="F326" s="95"/>
      <c r="G326" s="109"/>
      <c r="H326" s="95"/>
      <c r="I326" s="2"/>
      <c r="J326" s="97"/>
      <c r="K326" s="3"/>
      <c r="L326" s="3"/>
    </row>
    <row r="327" spans="4:12" ht="15.75">
      <c r="D327" s="1"/>
      <c r="E327" s="95"/>
      <c r="F327" s="95"/>
      <c r="G327" s="109"/>
      <c r="H327" s="95"/>
      <c r="I327" s="2"/>
      <c r="J327" s="97"/>
      <c r="K327" s="3"/>
      <c r="L327" s="3"/>
    </row>
    <row r="328" spans="4:12" ht="15.75">
      <c r="D328" s="1"/>
      <c r="E328" s="95"/>
      <c r="F328" s="95"/>
      <c r="G328" s="109"/>
      <c r="H328" s="95"/>
      <c r="I328" s="2"/>
      <c r="J328" s="97"/>
      <c r="K328" s="3"/>
      <c r="L328" s="3"/>
    </row>
    <row r="329" spans="4:12" ht="15.75">
      <c r="D329" s="1"/>
      <c r="E329" s="95"/>
      <c r="F329" s="95"/>
      <c r="G329" s="109"/>
      <c r="H329" s="95"/>
      <c r="I329" s="2"/>
      <c r="J329" s="97"/>
      <c r="K329" s="3"/>
      <c r="L329" s="3"/>
    </row>
    <row r="330" spans="4:12" ht="15.75">
      <c r="D330" s="1"/>
      <c r="E330" s="95"/>
      <c r="F330" s="95"/>
      <c r="G330" s="109"/>
      <c r="H330" s="95"/>
      <c r="I330" s="2"/>
      <c r="J330" s="97"/>
      <c r="K330" s="3"/>
      <c r="L330" s="3"/>
    </row>
    <row r="331" spans="4:12" ht="15.75">
      <c r="D331" s="1"/>
      <c r="E331" s="95"/>
      <c r="F331" s="95"/>
      <c r="G331" s="109"/>
      <c r="H331" s="95"/>
      <c r="I331" s="2"/>
      <c r="J331" s="97"/>
      <c r="K331" s="3"/>
      <c r="L331" s="3"/>
    </row>
    <row r="332" spans="4:12" ht="15.75">
      <c r="D332" s="1"/>
      <c r="E332" s="95"/>
      <c r="F332" s="95"/>
      <c r="G332" s="109"/>
      <c r="H332" s="95"/>
      <c r="I332" s="2"/>
      <c r="J332" s="97"/>
      <c r="K332" s="3"/>
      <c r="L332" s="3"/>
    </row>
    <row r="333" spans="4:12" ht="15.75">
      <c r="D333" s="1"/>
      <c r="E333" s="95"/>
      <c r="F333" s="95"/>
      <c r="G333" s="109"/>
      <c r="H333" s="95"/>
      <c r="I333" s="2"/>
      <c r="J333" s="97"/>
      <c r="K333" s="3"/>
      <c r="L333" s="3"/>
    </row>
    <row r="334" spans="4:12" ht="15.75">
      <c r="D334" s="1"/>
      <c r="E334" s="95"/>
      <c r="F334" s="95"/>
      <c r="G334" s="109"/>
      <c r="H334" s="95"/>
      <c r="I334" s="2"/>
      <c r="J334" s="97"/>
      <c r="K334" s="3"/>
      <c r="L334" s="3"/>
    </row>
    <row r="335" spans="4:12" ht="15.75">
      <c r="D335" s="1"/>
      <c r="E335" s="95"/>
      <c r="F335" s="95"/>
      <c r="G335" s="109"/>
      <c r="H335" s="95"/>
      <c r="I335" s="2"/>
      <c r="J335" s="97"/>
      <c r="K335" s="3"/>
      <c r="L335" s="3"/>
    </row>
    <row r="336" spans="4:12" ht="15.75">
      <c r="D336" s="1"/>
      <c r="E336" s="95"/>
      <c r="F336" s="95"/>
      <c r="G336" s="109"/>
      <c r="H336" s="95"/>
      <c r="I336" s="2"/>
      <c r="J336" s="97"/>
      <c r="K336" s="3"/>
      <c r="L336" s="3"/>
    </row>
    <row r="337" spans="4:12" ht="15.75">
      <c r="D337" s="1"/>
      <c r="E337" s="95"/>
      <c r="F337" s="95"/>
      <c r="G337" s="109"/>
      <c r="H337" s="95"/>
      <c r="I337" s="2"/>
      <c r="J337" s="97"/>
      <c r="K337" s="3"/>
      <c r="L337" s="3"/>
    </row>
    <row r="338" spans="4:12" ht="15.75">
      <c r="D338" s="1"/>
      <c r="E338" s="95"/>
      <c r="F338" s="95"/>
      <c r="G338" s="109"/>
      <c r="H338" s="95"/>
      <c r="I338" s="2"/>
      <c r="J338" s="97"/>
      <c r="K338" s="3"/>
      <c r="L338" s="3"/>
    </row>
    <row r="339" spans="4:12" ht="15.75">
      <c r="D339" s="1"/>
      <c r="E339" s="95"/>
      <c r="F339" s="95"/>
      <c r="G339" s="109"/>
      <c r="H339" s="95"/>
      <c r="I339" s="2"/>
      <c r="J339" s="97"/>
      <c r="K339" s="3"/>
      <c r="L339" s="3"/>
    </row>
    <row r="340" spans="4:12" ht="15.75">
      <c r="D340" s="1"/>
      <c r="E340" s="95"/>
      <c r="F340" s="95"/>
      <c r="G340" s="109"/>
      <c r="H340" s="95"/>
      <c r="I340" s="2"/>
      <c r="J340" s="97"/>
      <c r="K340" s="3"/>
      <c r="L340" s="3"/>
    </row>
    <row r="341" spans="4:12" ht="15.75">
      <c r="D341" s="1"/>
      <c r="E341" s="95"/>
      <c r="F341" s="95"/>
      <c r="G341" s="109"/>
      <c r="H341" s="95"/>
      <c r="I341" s="2"/>
      <c r="J341" s="97"/>
      <c r="K341" s="3"/>
      <c r="L341" s="3"/>
    </row>
    <row r="342" spans="4:12" ht="15.75">
      <c r="D342" s="1"/>
      <c r="E342" s="95"/>
      <c r="F342" s="95"/>
      <c r="G342" s="109"/>
      <c r="H342" s="95"/>
      <c r="I342" s="2"/>
      <c r="J342" s="97"/>
      <c r="K342" s="3"/>
      <c r="L342" s="3"/>
    </row>
    <row r="343" spans="4:12" ht="15.75">
      <c r="D343" s="1"/>
      <c r="E343" s="95"/>
      <c r="F343" s="95"/>
      <c r="G343" s="109"/>
      <c r="H343" s="95"/>
      <c r="I343" s="2"/>
      <c r="J343" s="97"/>
      <c r="K343" s="3"/>
      <c r="L343" s="3"/>
    </row>
    <row r="344" spans="4:12" ht="15.75">
      <c r="D344" s="1"/>
      <c r="E344" s="95"/>
      <c r="F344" s="95"/>
      <c r="G344" s="109"/>
      <c r="H344" s="95"/>
      <c r="I344" s="2"/>
      <c r="J344" s="97"/>
      <c r="K344" s="3"/>
      <c r="L344" s="3"/>
    </row>
    <row r="345" spans="4:12" ht="15.75">
      <c r="D345" s="1"/>
      <c r="E345" s="95"/>
      <c r="F345" s="95"/>
      <c r="G345" s="109"/>
      <c r="H345" s="95"/>
      <c r="I345" s="2"/>
      <c r="J345" s="97"/>
      <c r="K345" s="3"/>
      <c r="L345" s="3"/>
    </row>
    <row r="346" spans="4:12" ht="15.75">
      <c r="D346" s="1"/>
      <c r="E346" s="95"/>
      <c r="F346" s="95"/>
      <c r="G346" s="109"/>
      <c r="H346" s="95"/>
      <c r="I346" s="2"/>
      <c r="J346" s="97"/>
      <c r="K346" s="3"/>
      <c r="L346" s="3"/>
    </row>
    <row r="347" spans="4:12" ht="15.75">
      <c r="D347" s="1"/>
      <c r="E347" s="95"/>
      <c r="F347" s="95"/>
      <c r="G347" s="109"/>
      <c r="H347" s="95"/>
      <c r="I347" s="2"/>
      <c r="J347" s="97"/>
      <c r="K347" s="3"/>
      <c r="L347" s="3"/>
    </row>
    <row r="348" spans="4:12" ht="15.75">
      <c r="D348" s="1"/>
      <c r="E348" s="95"/>
      <c r="F348" s="95"/>
      <c r="G348" s="109"/>
      <c r="H348" s="95"/>
      <c r="I348" s="2"/>
      <c r="J348" s="97"/>
      <c r="K348" s="3"/>
      <c r="L348" s="3"/>
    </row>
    <row r="349" spans="4:12" ht="15.75">
      <c r="D349" s="1"/>
      <c r="E349" s="95"/>
      <c r="F349" s="95"/>
      <c r="G349" s="109"/>
      <c r="H349" s="95"/>
      <c r="I349" s="2"/>
      <c r="J349" s="97"/>
      <c r="K349" s="3"/>
      <c r="L349" s="3"/>
    </row>
    <row r="350" spans="4:12" ht="15.75">
      <c r="D350" s="1"/>
      <c r="E350" s="95"/>
      <c r="F350" s="95"/>
      <c r="G350" s="109"/>
      <c r="H350" s="95"/>
      <c r="I350" s="2"/>
      <c r="J350" s="97"/>
      <c r="K350" s="3"/>
      <c r="L350" s="3"/>
    </row>
    <row r="351" spans="4:12" ht="15.75">
      <c r="D351" s="1"/>
      <c r="E351" s="95"/>
      <c r="F351" s="95"/>
      <c r="G351" s="109"/>
      <c r="H351" s="95"/>
      <c r="I351" s="2"/>
      <c r="J351" s="97"/>
      <c r="K351" s="3"/>
      <c r="L351" s="3"/>
    </row>
    <row r="352" spans="4:12" ht="15.75">
      <c r="D352" s="1"/>
      <c r="E352" s="95"/>
      <c r="F352" s="95"/>
      <c r="G352" s="109"/>
      <c r="H352" s="95"/>
      <c r="I352" s="2"/>
      <c r="J352" s="97"/>
      <c r="K352" s="3"/>
      <c r="L352" s="3"/>
    </row>
    <row r="353" spans="4:12" ht="15.75">
      <c r="D353" s="1"/>
      <c r="E353" s="95"/>
      <c r="F353" s="95"/>
      <c r="G353" s="109"/>
      <c r="H353" s="95"/>
      <c r="I353" s="2"/>
      <c r="J353" s="97"/>
      <c r="K353" s="3"/>
      <c r="L353" s="3"/>
    </row>
    <row r="354" spans="4:12" ht="15.75">
      <c r="D354" s="1"/>
      <c r="E354" s="95"/>
      <c r="F354" s="95"/>
      <c r="G354" s="109"/>
      <c r="H354" s="95"/>
      <c r="I354" s="2"/>
      <c r="J354" s="97"/>
      <c r="K354" s="3"/>
      <c r="L354" s="3"/>
    </row>
    <row r="355" spans="4:12" ht="15.75">
      <c r="D355" s="1"/>
      <c r="E355" s="95"/>
      <c r="F355" s="95"/>
      <c r="G355" s="109"/>
      <c r="H355" s="95"/>
      <c r="I355" s="2"/>
      <c r="J355" s="97"/>
      <c r="K355" s="3"/>
      <c r="L355" s="3"/>
    </row>
    <row r="356" spans="4:12" ht="15.75">
      <c r="D356" s="1"/>
      <c r="E356" s="95"/>
      <c r="F356" s="95"/>
      <c r="G356" s="109"/>
      <c r="H356" s="95"/>
      <c r="I356" s="2"/>
      <c r="J356" s="97"/>
      <c r="K356" s="3"/>
      <c r="L356" s="3"/>
    </row>
    <row r="357" spans="4:12" ht="15.75">
      <c r="D357" s="1"/>
      <c r="E357" s="95"/>
      <c r="F357" s="95"/>
      <c r="G357" s="109"/>
      <c r="H357" s="95"/>
      <c r="I357" s="2"/>
      <c r="J357" s="97"/>
      <c r="K357" s="3"/>
      <c r="L357" s="3"/>
    </row>
    <row r="358" spans="4:12" ht="15.75">
      <c r="D358" s="1"/>
      <c r="E358" s="95"/>
      <c r="F358" s="95"/>
      <c r="G358" s="109"/>
      <c r="H358" s="95"/>
      <c r="I358" s="2"/>
      <c r="J358" s="97"/>
      <c r="K358" s="3"/>
      <c r="L358" s="3"/>
    </row>
    <row r="359" spans="4:12" ht="15.75">
      <c r="D359" s="1"/>
      <c r="E359" s="95"/>
      <c r="F359" s="95"/>
      <c r="G359" s="109"/>
      <c r="H359" s="95"/>
      <c r="I359" s="2"/>
      <c r="J359" s="97"/>
      <c r="K359" s="3"/>
      <c r="L359" s="3"/>
    </row>
    <row r="360" spans="4:12" ht="15.75">
      <c r="D360" s="1"/>
      <c r="E360" s="95"/>
      <c r="F360" s="95"/>
      <c r="G360" s="109"/>
      <c r="H360" s="95"/>
      <c r="I360" s="2"/>
      <c r="J360" s="97"/>
      <c r="K360" s="3"/>
      <c r="L360" s="3"/>
    </row>
    <row r="361" spans="4:12" ht="15.75">
      <c r="D361" s="1"/>
      <c r="E361" s="95"/>
      <c r="F361" s="95"/>
      <c r="G361" s="109"/>
      <c r="H361" s="95"/>
      <c r="I361" s="2"/>
      <c r="J361" s="97"/>
      <c r="K361" s="3"/>
      <c r="L361" s="3"/>
    </row>
    <row r="362" spans="4:12" ht="15.75">
      <c r="D362" s="1"/>
      <c r="E362" s="95"/>
      <c r="F362" s="95"/>
      <c r="G362" s="109"/>
      <c r="H362" s="95"/>
      <c r="I362" s="2"/>
      <c r="J362" s="97"/>
      <c r="K362" s="3"/>
      <c r="L362" s="3"/>
    </row>
    <row r="363" spans="4:12" ht="15.75">
      <c r="D363" s="1"/>
      <c r="E363" s="95"/>
      <c r="F363" s="95"/>
      <c r="G363" s="109"/>
      <c r="H363" s="95"/>
      <c r="I363" s="2"/>
      <c r="J363" s="97"/>
      <c r="K363" s="3"/>
      <c r="L363" s="3"/>
    </row>
    <row r="364" spans="4:12" ht="15.75">
      <c r="D364" s="1"/>
      <c r="E364" s="95"/>
      <c r="F364" s="95"/>
      <c r="G364" s="109"/>
      <c r="H364" s="95"/>
      <c r="I364" s="2"/>
      <c r="J364" s="97"/>
      <c r="K364" s="3"/>
      <c r="L364" s="3"/>
    </row>
    <row r="365" spans="4:12" ht="15.75">
      <c r="D365" s="1"/>
      <c r="E365" s="95"/>
      <c r="F365" s="95"/>
      <c r="G365" s="109"/>
      <c r="H365" s="95"/>
      <c r="I365" s="2"/>
      <c r="J365" s="97"/>
      <c r="K365" s="3"/>
      <c r="L365" s="3"/>
    </row>
    <row r="366" spans="4:12" ht="15.75">
      <c r="D366" s="1"/>
      <c r="E366" s="95"/>
      <c r="F366" s="95"/>
      <c r="G366" s="109"/>
      <c r="H366" s="95"/>
      <c r="I366" s="2"/>
      <c r="J366" s="97"/>
      <c r="K366" s="3"/>
      <c r="L366" s="3"/>
    </row>
    <row r="367" spans="4:12" ht="15.75">
      <c r="D367" s="1"/>
      <c r="E367" s="95"/>
      <c r="F367" s="95"/>
      <c r="G367" s="109"/>
      <c r="H367" s="95"/>
      <c r="I367" s="2"/>
      <c r="J367" s="97"/>
      <c r="K367" s="3"/>
      <c r="L367" s="3"/>
    </row>
    <row r="368" spans="4:12" ht="15.75">
      <c r="D368" s="1"/>
      <c r="E368" s="95"/>
      <c r="F368" s="95"/>
      <c r="G368" s="109"/>
      <c r="H368" s="95"/>
      <c r="I368" s="2"/>
      <c r="J368" s="97"/>
      <c r="K368" s="3"/>
      <c r="L368" s="3"/>
    </row>
    <row r="369" spans="4:12" ht="15.75">
      <c r="D369" s="1"/>
      <c r="E369" s="95"/>
      <c r="F369" s="95"/>
      <c r="G369" s="109"/>
      <c r="H369" s="95"/>
      <c r="I369" s="2"/>
      <c r="J369" s="97"/>
      <c r="K369" s="3"/>
      <c r="L369" s="3"/>
    </row>
    <row r="370" spans="4:12" ht="15.75">
      <c r="D370" s="1"/>
      <c r="E370" s="95"/>
      <c r="F370" s="95"/>
      <c r="G370" s="109"/>
      <c r="H370" s="95"/>
      <c r="I370" s="2"/>
      <c r="J370" s="97"/>
      <c r="K370" s="3"/>
      <c r="L370" s="3"/>
    </row>
    <row r="371" spans="4:12" ht="15.75">
      <c r="D371" s="1"/>
      <c r="E371" s="95"/>
      <c r="F371" s="95"/>
      <c r="G371" s="109"/>
      <c r="H371" s="95"/>
      <c r="I371" s="2"/>
      <c r="J371" s="97"/>
      <c r="K371" s="3"/>
      <c r="L371" s="3"/>
    </row>
    <row r="372" spans="4:12" ht="15.75">
      <c r="D372" s="1"/>
      <c r="E372" s="95"/>
      <c r="F372" s="95"/>
      <c r="G372" s="109"/>
      <c r="H372" s="95"/>
      <c r="I372" s="2"/>
      <c r="J372" s="97"/>
      <c r="K372" s="3"/>
      <c r="L372" s="3"/>
    </row>
    <row r="373" spans="4:12" ht="15.75">
      <c r="D373" s="1"/>
      <c r="E373" s="95"/>
      <c r="F373" s="95"/>
      <c r="G373" s="109"/>
      <c r="H373" s="95"/>
      <c r="I373" s="2"/>
      <c r="J373" s="97"/>
      <c r="K373" s="3"/>
      <c r="L373" s="3"/>
    </row>
    <row r="374" spans="4:12" ht="15.75">
      <c r="D374" s="1"/>
      <c r="E374" s="95"/>
      <c r="F374" s="95"/>
      <c r="G374" s="109"/>
      <c r="H374" s="95"/>
      <c r="I374" s="2"/>
      <c r="J374" s="97"/>
      <c r="K374" s="3"/>
      <c r="L374" s="3"/>
    </row>
    <row r="375" spans="4:12" ht="15.75">
      <c r="D375" s="1"/>
      <c r="E375" s="95"/>
      <c r="F375" s="95"/>
      <c r="G375" s="109"/>
      <c r="H375" s="95"/>
      <c r="I375" s="2"/>
      <c r="J375" s="97"/>
      <c r="K375" s="3"/>
      <c r="L375" s="3"/>
    </row>
    <row r="376" spans="4:12" ht="15.75">
      <c r="D376" s="1"/>
      <c r="E376" s="95"/>
      <c r="F376" s="95"/>
      <c r="G376" s="109"/>
      <c r="H376" s="95"/>
      <c r="I376" s="2"/>
      <c r="J376" s="97"/>
      <c r="K376" s="3"/>
      <c r="L376" s="3"/>
    </row>
    <row r="377" spans="4:12" ht="15.75">
      <c r="D377" s="1"/>
      <c r="E377" s="95"/>
      <c r="F377" s="95"/>
      <c r="G377" s="109"/>
      <c r="H377" s="95"/>
      <c r="I377" s="2"/>
      <c r="J377" s="97"/>
      <c r="K377" s="3"/>
      <c r="L377" s="3"/>
    </row>
    <row r="378" spans="4:12" ht="15.75">
      <c r="D378" s="1"/>
      <c r="E378" s="95"/>
      <c r="F378" s="95"/>
      <c r="G378" s="109"/>
      <c r="H378" s="95"/>
      <c r="I378" s="2"/>
      <c r="J378" s="97"/>
      <c r="K378" s="3"/>
      <c r="L378" s="3"/>
    </row>
    <row r="379" spans="4:12" ht="15.75">
      <c r="D379" s="1"/>
      <c r="E379" s="95"/>
      <c r="F379" s="95"/>
      <c r="G379" s="109"/>
      <c r="H379" s="95"/>
      <c r="I379" s="2"/>
      <c r="J379" s="97"/>
      <c r="K379" s="3"/>
      <c r="L379" s="3"/>
    </row>
    <row r="380" spans="4:12" ht="15.75">
      <c r="D380" s="1"/>
      <c r="E380" s="95"/>
      <c r="F380" s="95"/>
      <c r="G380" s="109"/>
      <c r="H380" s="95"/>
      <c r="I380" s="2"/>
      <c r="J380" s="97"/>
      <c r="K380" s="3"/>
      <c r="L380" s="3"/>
    </row>
    <row r="381" spans="4:12" ht="15.75">
      <c r="D381" s="1"/>
      <c r="E381" s="95"/>
      <c r="F381" s="95"/>
      <c r="G381" s="109"/>
      <c r="H381" s="95"/>
      <c r="I381" s="2"/>
      <c r="J381" s="97"/>
      <c r="K381" s="3"/>
      <c r="L381" s="3"/>
    </row>
    <row r="382" spans="4:12" ht="15.75">
      <c r="D382" s="1"/>
      <c r="E382" s="95"/>
      <c r="F382" s="95"/>
      <c r="G382" s="109"/>
      <c r="H382" s="95"/>
      <c r="I382" s="2"/>
      <c r="J382" s="97"/>
      <c r="K382" s="3"/>
      <c r="L382" s="3"/>
    </row>
    <row r="383" spans="4:12" ht="15.75">
      <c r="D383" s="1"/>
      <c r="E383" s="95"/>
      <c r="F383" s="95"/>
      <c r="G383" s="109"/>
      <c r="H383" s="95"/>
      <c r="I383" s="2"/>
      <c r="J383" s="97"/>
      <c r="K383" s="3"/>
      <c r="L383" s="3"/>
    </row>
    <row r="384" spans="4:12" ht="15.75">
      <c r="D384" s="1"/>
      <c r="E384" s="95"/>
      <c r="F384" s="95"/>
      <c r="G384" s="109"/>
      <c r="H384" s="95"/>
      <c r="I384" s="2"/>
      <c r="J384" s="97"/>
      <c r="K384" s="3"/>
      <c r="L384" s="3"/>
    </row>
    <row r="385" spans="4:12" ht="15.75">
      <c r="D385" s="1"/>
      <c r="E385" s="95"/>
      <c r="F385" s="95"/>
      <c r="G385" s="109"/>
      <c r="H385" s="95"/>
      <c r="I385" s="2"/>
      <c r="J385" s="97"/>
      <c r="K385" s="3"/>
      <c r="L385" s="3"/>
    </row>
    <row r="386" spans="4:12" ht="15.75">
      <c r="D386" s="1"/>
      <c r="E386" s="95"/>
      <c r="F386" s="95"/>
      <c r="G386" s="109"/>
      <c r="H386" s="95"/>
      <c r="I386" s="2"/>
      <c r="J386" s="97"/>
      <c r="K386" s="3"/>
      <c r="L386" s="3"/>
    </row>
    <row r="387" spans="4:12" ht="15.75">
      <c r="D387" s="1"/>
      <c r="E387" s="95"/>
      <c r="F387" s="95"/>
      <c r="G387" s="109"/>
      <c r="H387" s="95"/>
      <c r="I387" s="2"/>
      <c r="J387" s="97"/>
      <c r="K387" s="3"/>
      <c r="L387" s="3"/>
    </row>
    <row r="388" spans="4:12" ht="15.75">
      <c r="D388" s="1"/>
      <c r="E388" s="95"/>
      <c r="F388" s="95"/>
      <c r="G388" s="109"/>
      <c r="H388" s="95"/>
      <c r="I388" s="2"/>
      <c r="J388" s="97"/>
      <c r="K388" s="3"/>
      <c r="L388" s="3"/>
    </row>
    <row r="389" spans="4:12" ht="15.75">
      <c r="D389" s="1"/>
      <c r="E389" s="95"/>
      <c r="F389" s="95"/>
      <c r="G389" s="109"/>
      <c r="H389" s="95"/>
      <c r="I389" s="2"/>
      <c r="J389" s="97"/>
      <c r="K389" s="3"/>
      <c r="L389" s="3"/>
    </row>
    <row r="390" spans="4:12" ht="15.75">
      <c r="D390" s="1"/>
      <c r="E390" s="95"/>
      <c r="F390" s="95"/>
      <c r="G390" s="109"/>
      <c r="H390" s="95"/>
      <c r="I390" s="2"/>
      <c r="J390" s="97"/>
      <c r="K390" s="3"/>
      <c r="L390" s="3"/>
    </row>
    <row r="391" spans="4:12" ht="15.75">
      <c r="D391" s="1"/>
      <c r="E391" s="95"/>
      <c r="F391" s="95"/>
      <c r="G391" s="109"/>
      <c r="H391" s="95"/>
      <c r="I391" s="2"/>
      <c r="J391" s="97"/>
      <c r="K391" s="3"/>
      <c r="L391" s="3"/>
    </row>
    <row r="392" spans="4:12" ht="15.75">
      <c r="D392" s="1"/>
      <c r="E392" s="95"/>
      <c r="F392" s="95"/>
      <c r="G392" s="109"/>
      <c r="H392" s="95"/>
      <c r="I392" s="2"/>
      <c r="J392" s="97"/>
      <c r="K392" s="3"/>
      <c r="L392" s="3"/>
    </row>
    <row r="393" spans="4:12" ht="15.75">
      <c r="D393" s="1"/>
      <c r="E393" s="95"/>
      <c r="F393" s="95"/>
      <c r="G393" s="109"/>
      <c r="H393" s="95"/>
      <c r="I393" s="2"/>
      <c r="J393" s="97"/>
      <c r="K393" s="3"/>
      <c r="L393" s="3"/>
    </row>
    <row r="394" spans="4:12" ht="15.75">
      <c r="D394" s="1"/>
      <c r="E394" s="95"/>
      <c r="F394" s="95"/>
      <c r="G394" s="109"/>
      <c r="H394" s="95"/>
      <c r="I394" s="2"/>
      <c r="J394" s="97"/>
      <c r="K394" s="3"/>
      <c r="L394" s="3"/>
    </row>
    <row r="395" spans="4:12" ht="15.75">
      <c r="D395" s="1"/>
      <c r="E395" s="95"/>
      <c r="F395" s="95"/>
      <c r="G395" s="109"/>
      <c r="H395" s="95"/>
      <c r="I395" s="2"/>
      <c r="J395" s="97"/>
      <c r="K395" s="3"/>
      <c r="L395" s="3"/>
    </row>
    <row r="396" spans="4:12" ht="15.75">
      <c r="D396" s="1"/>
      <c r="E396" s="95"/>
      <c r="F396" s="95"/>
      <c r="G396" s="109"/>
      <c r="H396" s="95"/>
      <c r="I396" s="2"/>
      <c r="J396" s="97"/>
      <c r="K396" s="3"/>
      <c r="L396" s="3"/>
    </row>
    <row r="397" spans="4:12" ht="15.75">
      <c r="D397" s="1"/>
      <c r="E397" s="95"/>
      <c r="F397" s="95"/>
      <c r="G397" s="109"/>
      <c r="H397" s="95"/>
      <c r="I397" s="2"/>
      <c r="J397" s="97"/>
      <c r="K397" s="3"/>
      <c r="L397" s="3"/>
    </row>
    <row r="398" spans="4:12" ht="15.75">
      <c r="D398" s="1"/>
      <c r="E398" s="95"/>
      <c r="F398" s="95"/>
      <c r="G398" s="109"/>
      <c r="H398" s="95"/>
      <c r="I398" s="2"/>
      <c r="J398" s="97"/>
      <c r="K398" s="3"/>
      <c r="L398" s="3"/>
    </row>
    <row r="399" spans="4:12" ht="15.75">
      <c r="D399" s="1"/>
      <c r="E399" s="95"/>
      <c r="F399" s="95"/>
      <c r="G399" s="109"/>
      <c r="H399" s="95"/>
      <c r="I399" s="2"/>
      <c r="J399" s="97"/>
      <c r="K399" s="3"/>
      <c r="L399" s="3"/>
    </row>
    <row r="400" spans="4:12" ht="15.75">
      <c r="D400" s="1"/>
      <c r="E400" s="95"/>
      <c r="F400" s="95"/>
      <c r="G400" s="109"/>
      <c r="H400" s="95"/>
      <c r="I400" s="2"/>
      <c r="J400" s="97"/>
      <c r="K400" s="3"/>
      <c r="L400" s="3"/>
    </row>
    <row r="401" spans="4:12" ht="15.75">
      <c r="D401" s="1"/>
      <c r="E401" s="95"/>
      <c r="F401" s="95"/>
      <c r="G401" s="109"/>
      <c r="H401" s="95"/>
      <c r="I401" s="2"/>
      <c r="J401" s="97"/>
      <c r="K401" s="3"/>
      <c r="L401" s="3"/>
    </row>
    <row r="402" spans="4:12" ht="15.75">
      <c r="D402" s="1"/>
      <c r="E402" s="95"/>
      <c r="F402" s="95"/>
      <c r="G402" s="109"/>
      <c r="H402" s="95"/>
      <c r="I402" s="2"/>
      <c r="J402" s="97"/>
      <c r="K402" s="3"/>
      <c r="L402" s="3"/>
    </row>
    <row r="403" spans="4:12" ht="15.75">
      <c r="D403" s="1"/>
      <c r="E403" s="95"/>
      <c r="F403" s="95"/>
      <c r="G403" s="109"/>
      <c r="H403" s="95"/>
      <c r="I403" s="2"/>
      <c r="J403" s="97"/>
      <c r="K403" s="3"/>
      <c r="L403" s="3"/>
    </row>
    <row r="404" spans="4:12" ht="15.75">
      <c r="D404" s="1"/>
      <c r="E404" s="95"/>
      <c r="F404" s="95"/>
      <c r="G404" s="109"/>
      <c r="H404" s="95"/>
      <c r="I404" s="2"/>
      <c r="J404" s="97"/>
      <c r="K404" s="3"/>
      <c r="L404" s="3"/>
    </row>
    <row r="405" spans="4:12" ht="15.75">
      <c r="D405" s="1"/>
      <c r="E405" s="95"/>
      <c r="F405" s="95"/>
      <c r="G405" s="109"/>
      <c r="H405" s="95"/>
      <c r="I405" s="2"/>
      <c r="J405" s="97"/>
      <c r="K405" s="3"/>
      <c r="L405" s="3"/>
    </row>
    <row r="406" spans="4:12" ht="15.75">
      <c r="D406" s="1"/>
      <c r="E406" s="95"/>
      <c r="F406" s="95"/>
      <c r="G406" s="109"/>
      <c r="H406" s="95"/>
      <c r="I406" s="2"/>
      <c r="J406" s="97"/>
      <c r="K406" s="3"/>
      <c r="L406" s="3"/>
    </row>
    <row r="407" spans="4:12" ht="15.75">
      <c r="D407" s="1"/>
      <c r="E407" s="95"/>
      <c r="F407" s="95"/>
      <c r="G407" s="109"/>
      <c r="H407" s="95"/>
      <c r="I407" s="2"/>
      <c r="J407" s="97"/>
      <c r="K407" s="3"/>
      <c r="L407" s="3"/>
    </row>
    <row r="408" spans="4:12" ht="15.75">
      <c r="D408" s="1"/>
      <c r="E408" s="95"/>
      <c r="F408" s="95"/>
      <c r="G408" s="109"/>
      <c r="H408" s="95"/>
      <c r="I408" s="2"/>
      <c r="J408" s="97"/>
      <c r="K408" s="3"/>
      <c r="L408" s="3"/>
    </row>
    <row r="409" spans="4:12" ht="15.75">
      <c r="D409" s="1"/>
      <c r="E409" s="95"/>
      <c r="F409" s="95"/>
      <c r="G409" s="109"/>
      <c r="H409" s="95"/>
      <c r="I409" s="2"/>
      <c r="J409" s="97"/>
      <c r="K409" s="3"/>
      <c r="L409" s="3"/>
    </row>
    <row r="410" spans="4:12" ht="15.75">
      <c r="D410" s="1"/>
      <c r="E410" s="95"/>
      <c r="F410" s="95"/>
      <c r="G410" s="109"/>
      <c r="H410" s="95"/>
      <c r="I410" s="2"/>
      <c r="J410" s="97"/>
      <c r="K410" s="3"/>
      <c r="L410" s="3"/>
    </row>
    <row r="411" spans="4:12" ht="15.75">
      <c r="D411" s="1"/>
      <c r="E411" s="95"/>
      <c r="F411" s="95"/>
      <c r="G411" s="109"/>
      <c r="H411" s="95"/>
      <c r="I411" s="2"/>
      <c r="J411" s="97"/>
      <c r="K411" s="3"/>
      <c r="L411" s="3"/>
    </row>
    <row r="412" spans="4:12" ht="15.75">
      <c r="D412" s="1"/>
      <c r="E412" s="95"/>
      <c r="F412" s="95"/>
      <c r="G412" s="109"/>
      <c r="H412" s="95"/>
      <c r="I412" s="2"/>
      <c r="J412" s="97"/>
      <c r="K412" s="3"/>
      <c r="L412" s="3"/>
    </row>
    <row r="413" spans="4:12" ht="15.75">
      <c r="D413" s="1"/>
      <c r="E413" s="95"/>
      <c r="F413" s="95"/>
      <c r="G413" s="109"/>
      <c r="H413" s="95"/>
      <c r="I413" s="2"/>
      <c r="J413" s="97"/>
      <c r="K413" s="3"/>
      <c r="L413" s="3"/>
    </row>
    <row r="414" spans="4:12" ht="15.75">
      <c r="D414" s="1"/>
      <c r="E414" s="95"/>
      <c r="F414" s="95"/>
      <c r="G414" s="109"/>
      <c r="H414" s="95"/>
      <c r="I414" s="2"/>
      <c r="J414" s="97"/>
      <c r="K414" s="3"/>
      <c r="L414" s="3"/>
    </row>
    <row r="415" spans="4:12" ht="15.75">
      <c r="D415" s="1"/>
      <c r="E415" s="95"/>
      <c r="F415" s="95"/>
      <c r="G415" s="109"/>
      <c r="H415" s="95"/>
      <c r="I415" s="2"/>
      <c r="J415" s="97"/>
      <c r="K415" s="3"/>
      <c r="L415" s="3"/>
    </row>
    <row r="416" spans="4:12" ht="15.75">
      <c r="D416" s="1"/>
      <c r="E416" s="95"/>
      <c r="F416" s="95"/>
      <c r="G416" s="109"/>
      <c r="H416" s="95"/>
      <c r="I416" s="2"/>
      <c r="J416" s="97"/>
      <c r="K416" s="3"/>
      <c r="L416" s="3"/>
    </row>
    <row r="417" spans="4:12" ht="15.75">
      <c r="D417" s="1"/>
      <c r="E417" s="95"/>
      <c r="F417" s="95"/>
      <c r="G417" s="109"/>
      <c r="H417" s="95"/>
      <c r="I417" s="2"/>
      <c r="J417" s="97"/>
      <c r="K417" s="3"/>
      <c r="L417" s="3"/>
    </row>
    <row r="418" spans="4:12" ht="15.75">
      <c r="D418" s="1"/>
      <c r="E418" s="95"/>
      <c r="F418" s="95"/>
      <c r="G418" s="109"/>
      <c r="H418" s="95"/>
      <c r="I418" s="2"/>
      <c r="J418" s="97"/>
      <c r="K418" s="3"/>
      <c r="L418" s="3"/>
    </row>
    <row r="419" spans="4:12" ht="15.75">
      <c r="D419" s="1"/>
      <c r="E419" s="95"/>
      <c r="F419" s="95"/>
      <c r="G419" s="109"/>
      <c r="H419" s="95"/>
      <c r="I419" s="2"/>
      <c r="J419" s="97"/>
      <c r="K419" s="3"/>
      <c r="L419" s="3"/>
    </row>
    <row r="420" spans="4:12" ht="15.75">
      <c r="D420" s="1"/>
      <c r="E420" s="95"/>
      <c r="F420" s="95"/>
      <c r="G420" s="109"/>
      <c r="H420" s="95"/>
      <c r="I420" s="2"/>
      <c r="J420" s="97"/>
      <c r="K420" s="3"/>
      <c r="L420" s="3"/>
    </row>
    <row r="421" spans="4:12" ht="15.75">
      <c r="D421" s="1"/>
      <c r="E421" s="95"/>
      <c r="F421" s="95"/>
      <c r="G421" s="109"/>
      <c r="H421" s="95"/>
      <c r="I421" s="2"/>
      <c r="J421" s="97"/>
      <c r="K421" s="3"/>
      <c r="L421" s="3"/>
    </row>
    <row r="422" spans="4:12" ht="15.75">
      <c r="D422" s="1"/>
      <c r="E422" s="95"/>
      <c r="F422" s="95"/>
      <c r="G422" s="109"/>
      <c r="H422" s="95"/>
      <c r="I422" s="2"/>
      <c r="J422" s="97"/>
      <c r="K422" s="3"/>
      <c r="L422" s="3"/>
    </row>
    <row r="423" spans="4:12" ht="15.75">
      <c r="D423" s="1"/>
      <c r="E423" s="95"/>
      <c r="F423" s="95"/>
      <c r="G423" s="109"/>
      <c r="H423" s="95"/>
      <c r="I423" s="2"/>
      <c r="J423" s="97"/>
      <c r="K423" s="3"/>
      <c r="L423" s="3"/>
    </row>
    <row r="424" spans="4:12" ht="15.75">
      <c r="D424" s="1"/>
      <c r="E424" s="95"/>
      <c r="F424" s="95"/>
      <c r="G424" s="109"/>
      <c r="H424" s="95"/>
      <c r="I424" s="2"/>
      <c r="J424" s="97"/>
      <c r="K424" s="3"/>
      <c r="L424" s="3"/>
    </row>
    <row r="425" spans="4:12" ht="15.75">
      <c r="D425" s="1"/>
      <c r="E425" s="95"/>
      <c r="F425" s="95"/>
      <c r="G425" s="109"/>
      <c r="H425" s="95"/>
      <c r="I425" s="2"/>
      <c r="J425" s="97"/>
      <c r="K425" s="3"/>
      <c r="L425" s="3"/>
    </row>
    <row r="426" spans="4:12" ht="15.75">
      <c r="D426" s="1"/>
      <c r="E426" s="95"/>
      <c r="F426" s="95"/>
      <c r="G426" s="109"/>
      <c r="H426" s="95"/>
      <c r="I426" s="2"/>
      <c r="J426" s="97"/>
      <c r="K426" s="3"/>
      <c r="L426" s="3"/>
    </row>
    <row r="427" spans="4:12" ht="15.75">
      <c r="D427" s="1"/>
      <c r="E427" s="95"/>
      <c r="F427" s="95"/>
      <c r="G427" s="109"/>
      <c r="H427" s="95"/>
      <c r="I427" s="2"/>
      <c r="J427" s="97"/>
      <c r="K427" s="3"/>
      <c r="L427" s="3"/>
    </row>
    <row r="428" spans="4:12" ht="15.75">
      <c r="D428" s="1"/>
      <c r="E428" s="95"/>
      <c r="F428" s="95"/>
      <c r="G428" s="109"/>
      <c r="H428" s="95"/>
      <c r="I428" s="2"/>
      <c r="J428" s="97"/>
      <c r="K428" s="3"/>
      <c r="L428" s="3"/>
    </row>
    <row r="429" spans="4:12" ht="15.75">
      <c r="D429" s="1"/>
      <c r="E429" s="95"/>
      <c r="F429" s="95"/>
      <c r="G429" s="109"/>
      <c r="H429" s="95"/>
      <c r="I429" s="2"/>
      <c r="J429" s="97"/>
      <c r="K429" s="3"/>
      <c r="L429" s="3"/>
    </row>
    <row r="430" spans="4:12" ht="15.75">
      <c r="D430" s="1"/>
      <c r="E430" s="95"/>
      <c r="F430" s="95"/>
      <c r="G430" s="109"/>
      <c r="H430" s="95"/>
      <c r="I430" s="2"/>
      <c r="J430" s="97"/>
      <c r="K430" s="3"/>
      <c r="L430" s="3"/>
    </row>
    <row r="431" spans="4:12" ht="15.75">
      <c r="D431" s="1"/>
      <c r="E431" s="95"/>
      <c r="F431" s="95"/>
      <c r="G431" s="109"/>
      <c r="H431" s="95"/>
      <c r="I431" s="2"/>
      <c r="J431" s="97"/>
      <c r="K431" s="3"/>
      <c r="L431" s="3"/>
    </row>
    <row r="432" spans="4:12" ht="15.75">
      <c r="D432" s="1"/>
      <c r="E432" s="95"/>
      <c r="F432" s="95"/>
      <c r="G432" s="109"/>
      <c r="H432" s="95"/>
      <c r="I432" s="2"/>
      <c r="J432" s="97"/>
      <c r="K432" s="3"/>
      <c r="L432" s="3"/>
    </row>
    <row r="433" spans="4:12" ht="15.75">
      <c r="D433" s="1"/>
      <c r="E433" s="95"/>
      <c r="F433" s="95"/>
      <c r="G433" s="109"/>
      <c r="H433" s="95"/>
      <c r="I433" s="2"/>
      <c r="J433" s="97"/>
      <c r="K433" s="3"/>
      <c r="L433" s="3"/>
    </row>
    <row r="434" spans="4:12" ht="15.75">
      <c r="D434" s="1"/>
      <c r="E434" s="95"/>
      <c r="F434" s="95"/>
      <c r="G434" s="109"/>
      <c r="H434" s="95"/>
      <c r="I434" s="2"/>
      <c r="J434" s="97"/>
      <c r="K434" s="3"/>
      <c r="L434" s="3"/>
    </row>
    <row r="435" spans="4:12" ht="15.75">
      <c r="D435" s="1"/>
      <c r="E435" s="95"/>
      <c r="F435" s="95"/>
      <c r="G435" s="109"/>
      <c r="H435" s="95"/>
      <c r="I435" s="2"/>
      <c r="J435" s="97"/>
      <c r="K435" s="3"/>
      <c r="L435" s="3"/>
    </row>
    <row r="436" spans="4:12" ht="15.75">
      <c r="D436" s="1"/>
      <c r="E436" s="95"/>
      <c r="F436" s="95"/>
      <c r="G436" s="109"/>
      <c r="H436" s="95"/>
      <c r="I436" s="2"/>
      <c r="J436" s="97"/>
      <c r="K436" s="3"/>
      <c r="L436" s="3"/>
    </row>
    <row r="437" spans="4:12" ht="15.75">
      <c r="D437" s="1"/>
      <c r="E437" s="95"/>
      <c r="F437" s="95"/>
      <c r="G437" s="109"/>
      <c r="H437" s="95"/>
      <c r="I437" s="2"/>
      <c r="J437" s="97"/>
      <c r="K437" s="3"/>
      <c r="L437" s="3"/>
    </row>
    <row r="438" spans="4:12" ht="15.75">
      <c r="D438" s="1"/>
      <c r="E438" s="95"/>
      <c r="F438" s="95"/>
      <c r="G438" s="109"/>
      <c r="H438" s="95"/>
      <c r="I438" s="2"/>
      <c r="J438" s="97"/>
      <c r="K438" s="3"/>
      <c r="L438" s="3"/>
    </row>
    <row r="439" spans="4:12" ht="15.75">
      <c r="D439" s="1"/>
      <c r="E439" s="95"/>
      <c r="F439" s="95"/>
      <c r="G439" s="109"/>
      <c r="H439" s="95"/>
      <c r="I439" s="2"/>
      <c r="J439" s="97"/>
      <c r="K439" s="3"/>
      <c r="L439" s="3"/>
    </row>
    <row r="440" spans="4:12" ht="15.75">
      <c r="D440" s="1"/>
      <c r="E440" s="95"/>
      <c r="F440" s="95"/>
      <c r="G440" s="109"/>
      <c r="H440" s="95"/>
      <c r="I440" s="2"/>
      <c r="J440" s="97"/>
      <c r="K440" s="3"/>
      <c r="L440" s="3"/>
    </row>
    <row r="441" spans="4:12" ht="15.75">
      <c r="D441" s="1"/>
      <c r="E441" s="95"/>
      <c r="F441" s="95"/>
      <c r="G441" s="109"/>
      <c r="H441" s="95"/>
      <c r="I441" s="2"/>
      <c r="J441" s="97"/>
      <c r="K441" s="3"/>
      <c r="L441" s="3"/>
    </row>
    <row r="442" spans="4:12" ht="15.75">
      <c r="D442" s="1"/>
      <c r="E442" s="95"/>
      <c r="F442" s="95"/>
      <c r="G442" s="109"/>
      <c r="H442" s="95"/>
      <c r="I442" s="2"/>
      <c r="J442" s="97"/>
      <c r="K442" s="3"/>
      <c r="L442" s="3"/>
    </row>
    <row r="443" spans="4:12" ht="15.75">
      <c r="D443" s="1"/>
      <c r="E443" s="95"/>
      <c r="F443" s="95"/>
      <c r="G443" s="109"/>
      <c r="H443" s="95"/>
      <c r="I443" s="2"/>
      <c r="J443" s="97"/>
      <c r="K443" s="3"/>
      <c r="L443" s="3"/>
    </row>
    <row r="444" spans="4:12" ht="15.75">
      <c r="D444" s="1"/>
      <c r="E444" s="95"/>
      <c r="F444" s="95"/>
      <c r="G444" s="109"/>
      <c r="H444" s="95"/>
      <c r="I444" s="2"/>
      <c r="J444" s="97"/>
      <c r="K444" s="3"/>
      <c r="L444" s="3"/>
    </row>
    <row r="445" spans="4:12" ht="15.75">
      <c r="D445" s="1"/>
      <c r="E445" s="95"/>
      <c r="F445" s="95"/>
      <c r="G445" s="109"/>
      <c r="H445" s="95"/>
      <c r="I445" s="2"/>
      <c r="J445" s="97"/>
      <c r="K445" s="3"/>
      <c r="L445" s="3"/>
    </row>
    <row r="446" spans="4:12" ht="15.75">
      <c r="D446" s="1"/>
      <c r="E446" s="95"/>
      <c r="F446" s="95"/>
      <c r="G446" s="109"/>
      <c r="H446" s="95"/>
      <c r="I446" s="2"/>
      <c r="J446" s="97"/>
      <c r="K446" s="3"/>
      <c r="L446" s="3"/>
    </row>
    <row r="447" spans="4:12" ht="15.75">
      <c r="D447" s="1"/>
      <c r="E447" s="95"/>
      <c r="F447" s="95"/>
      <c r="G447" s="109"/>
      <c r="H447" s="95"/>
      <c r="I447" s="2"/>
      <c r="J447" s="97"/>
      <c r="K447" s="3"/>
      <c r="L447" s="3"/>
    </row>
    <row r="448" spans="4:12" ht="15.75">
      <c r="D448" s="1"/>
      <c r="E448" s="95"/>
      <c r="F448" s="95"/>
      <c r="G448" s="109"/>
      <c r="H448" s="95"/>
      <c r="I448" s="2"/>
      <c r="J448" s="97"/>
      <c r="K448" s="3"/>
      <c r="L448" s="3"/>
    </row>
    <row r="449" spans="4:12" ht="15.75">
      <c r="D449" s="1"/>
      <c r="E449" s="95"/>
      <c r="F449" s="95"/>
      <c r="G449" s="109"/>
      <c r="H449" s="95"/>
      <c r="I449" s="2"/>
      <c r="J449" s="97"/>
      <c r="K449" s="3"/>
      <c r="L449" s="3"/>
    </row>
    <row r="450" spans="4:12" ht="15.75">
      <c r="D450" s="1"/>
      <c r="E450" s="95"/>
      <c r="F450" s="95"/>
      <c r="G450" s="109"/>
      <c r="H450" s="95"/>
      <c r="I450" s="2"/>
      <c r="J450" s="97"/>
      <c r="K450" s="3"/>
      <c r="L450" s="3"/>
    </row>
    <row r="451" spans="4:12" ht="15.75">
      <c r="D451" s="1"/>
      <c r="E451" s="95"/>
      <c r="F451" s="95"/>
      <c r="G451" s="109"/>
      <c r="H451" s="95"/>
      <c r="I451" s="2"/>
      <c r="J451" s="97"/>
      <c r="K451" s="3"/>
      <c r="L451" s="3"/>
    </row>
    <row r="452" spans="4:12" ht="15.75">
      <c r="D452" s="1"/>
      <c r="E452" s="95"/>
      <c r="F452" s="95"/>
      <c r="G452" s="109"/>
      <c r="H452" s="95"/>
      <c r="I452" s="2"/>
      <c r="J452" s="97"/>
      <c r="K452" s="3"/>
      <c r="L452" s="3"/>
    </row>
    <row r="453" spans="4:12" ht="15.75">
      <c r="D453" s="1"/>
      <c r="E453" s="95"/>
      <c r="F453" s="95"/>
      <c r="G453" s="109"/>
      <c r="H453" s="95"/>
      <c r="I453" s="2"/>
      <c r="J453" s="97"/>
      <c r="K453" s="3"/>
      <c r="L453" s="3"/>
    </row>
    <row r="454" spans="4:12" ht="15.75">
      <c r="D454" s="1"/>
      <c r="E454" s="95"/>
      <c r="F454" s="95"/>
      <c r="G454" s="109"/>
      <c r="H454" s="95"/>
      <c r="I454" s="2"/>
      <c r="J454" s="97"/>
      <c r="K454" s="3"/>
      <c r="L454" s="3"/>
    </row>
    <row r="455" spans="4:12" ht="15.75">
      <c r="D455" s="1"/>
      <c r="E455" s="95"/>
      <c r="F455" s="95"/>
      <c r="G455" s="109"/>
      <c r="H455" s="95"/>
      <c r="I455" s="2"/>
      <c r="J455" s="97"/>
      <c r="K455" s="3"/>
      <c r="L455" s="3"/>
    </row>
    <row r="456" spans="4:12" ht="15.75">
      <c r="D456" s="1"/>
      <c r="E456" s="95"/>
      <c r="F456" s="95"/>
      <c r="G456" s="109"/>
      <c r="H456" s="95"/>
      <c r="I456" s="2"/>
      <c r="J456" s="97"/>
      <c r="K456" s="3"/>
      <c r="L456" s="3"/>
    </row>
    <row r="457" spans="4:12" ht="15.75">
      <c r="D457" s="1"/>
      <c r="E457" s="95"/>
      <c r="F457" s="95"/>
      <c r="G457" s="109"/>
      <c r="H457" s="95"/>
      <c r="I457" s="2"/>
      <c r="J457" s="97"/>
      <c r="K457" s="3"/>
      <c r="L457" s="3"/>
    </row>
    <row r="458" spans="4:12" ht="15.75">
      <c r="D458" s="1"/>
      <c r="E458" s="95"/>
      <c r="F458" s="95"/>
      <c r="G458" s="109"/>
      <c r="H458" s="95"/>
      <c r="I458" s="2"/>
      <c r="J458" s="97"/>
      <c r="K458" s="3"/>
      <c r="L458" s="3"/>
    </row>
    <row r="459" spans="4:12" ht="15.75">
      <c r="D459" s="1"/>
      <c r="E459" s="95"/>
      <c r="F459" s="95"/>
      <c r="G459" s="109"/>
      <c r="H459" s="95"/>
      <c r="I459" s="2"/>
      <c r="J459" s="97"/>
      <c r="K459" s="3"/>
      <c r="L459" s="3"/>
    </row>
    <row r="460" spans="4:12" ht="15.75">
      <c r="D460" s="1"/>
      <c r="E460" s="95"/>
      <c r="F460" s="95"/>
      <c r="G460" s="109"/>
      <c r="H460" s="95"/>
      <c r="I460" s="2"/>
      <c r="J460" s="97"/>
      <c r="K460" s="3"/>
      <c r="L460" s="3"/>
    </row>
    <row r="461" spans="4:12" ht="15.75">
      <c r="D461" s="1"/>
      <c r="E461" s="95"/>
      <c r="F461" s="95"/>
      <c r="G461" s="109"/>
      <c r="H461" s="95"/>
      <c r="I461" s="2"/>
      <c r="J461" s="97"/>
      <c r="K461" s="3"/>
      <c r="L461" s="3"/>
    </row>
    <row r="462" spans="4:12" ht="15.75">
      <c r="D462" s="1"/>
      <c r="E462" s="95"/>
      <c r="F462" s="95"/>
      <c r="G462" s="109"/>
      <c r="H462" s="95"/>
      <c r="I462" s="2"/>
      <c r="J462" s="97"/>
      <c r="K462" s="3"/>
      <c r="L462" s="3"/>
    </row>
    <row r="463" spans="4:12" ht="15.75">
      <c r="D463" s="1"/>
      <c r="E463" s="95"/>
      <c r="F463" s="95"/>
      <c r="G463" s="109"/>
      <c r="H463" s="95"/>
      <c r="I463" s="2"/>
      <c r="J463" s="97"/>
      <c r="K463" s="3"/>
      <c r="L463" s="3"/>
    </row>
    <row r="464" spans="4:12" ht="15.75">
      <c r="D464" s="1"/>
      <c r="E464" s="95"/>
      <c r="F464" s="95"/>
      <c r="G464" s="109"/>
      <c r="H464" s="95"/>
      <c r="I464" s="2"/>
      <c r="J464" s="97"/>
      <c r="K464" s="3"/>
      <c r="L464" s="3"/>
    </row>
    <row r="465" spans="4:12" ht="15.75">
      <c r="D465" s="1"/>
      <c r="E465" s="95"/>
      <c r="F465" s="95"/>
      <c r="G465" s="109"/>
      <c r="H465" s="95"/>
      <c r="I465" s="2"/>
      <c r="J465" s="97"/>
      <c r="K465" s="3"/>
      <c r="L465" s="3"/>
    </row>
    <row r="466" spans="4:12" ht="15.75">
      <c r="D466" s="1"/>
      <c r="E466" s="95"/>
      <c r="F466" s="95"/>
      <c r="G466" s="109"/>
      <c r="H466" s="95"/>
      <c r="I466" s="2"/>
      <c r="J466" s="97"/>
      <c r="K466" s="3"/>
      <c r="L466" s="3"/>
    </row>
    <row r="467" spans="4:12" ht="15.75">
      <c r="D467" s="1"/>
      <c r="E467" s="95"/>
      <c r="F467" s="95"/>
      <c r="G467" s="109"/>
      <c r="H467" s="95"/>
      <c r="I467" s="2"/>
      <c r="J467" s="97"/>
      <c r="K467" s="3"/>
      <c r="L467" s="3"/>
    </row>
    <row r="468" spans="4:12" ht="15.75">
      <c r="D468" s="1"/>
      <c r="E468" s="95"/>
      <c r="F468" s="95"/>
      <c r="G468" s="109"/>
      <c r="H468" s="95"/>
      <c r="I468" s="2"/>
      <c r="J468" s="97"/>
      <c r="K468" s="3"/>
      <c r="L468" s="3"/>
    </row>
    <row r="469" spans="4:12" ht="15.75">
      <c r="D469" s="1"/>
      <c r="E469" s="95"/>
      <c r="F469" s="95"/>
      <c r="G469" s="109"/>
      <c r="H469" s="95"/>
      <c r="I469" s="2"/>
      <c r="J469" s="97"/>
      <c r="K469" s="3"/>
      <c r="L469" s="3"/>
    </row>
    <row r="470" spans="4:12" ht="15.75">
      <c r="D470" s="1"/>
      <c r="E470" s="95"/>
      <c r="F470" s="95"/>
      <c r="G470" s="109"/>
      <c r="H470" s="95"/>
      <c r="I470" s="2"/>
      <c r="J470" s="97"/>
      <c r="K470" s="3"/>
      <c r="L470" s="3"/>
    </row>
  </sheetData>
  <mergeCells count="101">
    <mergeCell ref="D103:K103"/>
    <mergeCell ref="D106:K106"/>
    <mergeCell ref="D94:K94"/>
    <mergeCell ref="D7:J7"/>
    <mergeCell ref="D147:K147"/>
    <mergeCell ref="D148:K148"/>
    <mergeCell ref="D149:L149"/>
    <mergeCell ref="D52:L52"/>
    <mergeCell ref="E54:F54"/>
    <mergeCell ref="H54:L54"/>
    <mergeCell ref="D51:K51"/>
    <mergeCell ref="D53:L53"/>
    <mergeCell ref="E88:F88"/>
    <mergeCell ref="E95:F95"/>
    <mergeCell ref="E58:F58"/>
    <mergeCell ref="D47:K47"/>
    <mergeCell ref="H18:L18"/>
    <mergeCell ref="E26:F26"/>
    <mergeCell ref="H26:L26"/>
    <mergeCell ref="E44:F44"/>
    <mergeCell ref="H44:L44"/>
    <mergeCell ref="E85:F85"/>
    <mergeCell ref="H85:L85"/>
    <mergeCell ref="E48:F48"/>
    <mergeCell ref="D3:L3"/>
    <mergeCell ref="D4:L4"/>
    <mergeCell ref="D5:L5"/>
    <mergeCell ref="D6:L6"/>
    <mergeCell ref="D14:K14"/>
    <mergeCell ref="D17:K17"/>
    <mergeCell ref="D25:K25"/>
    <mergeCell ref="D9:L9"/>
    <mergeCell ref="D43:K43"/>
    <mergeCell ref="D28:K28"/>
    <mergeCell ref="D34:K34"/>
    <mergeCell ref="K7:L7"/>
    <mergeCell ref="E10:F10"/>
    <mergeCell ref="H10:L10"/>
    <mergeCell ref="E15:F15"/>
    <mergeCell ref="H15:L15"/>
    <mergeCell ref="E18:F18"/>
    <mergeCell ref="D38:K38"/>
    <mergeCell ref="E29:F29"/>
    <mergeCell ref="H29:L29"/>
    <mergeCell ref="E35:F35"/>
    <mergeCell ref="H35:L35"/>
    <mergeCell ref="E39:F39"/>
    <mergeCell ref="H39:L39"/>
    <mergeCell ref="H48:L48"/>
    <mergeCell ref="D50:K50"/>
    <mergeCell ref="D57:K57"/>
    <mergeCell ref="D87:K87"/>
    <mergeCell ref="D84:K84"/>
    <mergeCell ref="D72:K72"/>
    <mergeCell ref="H95:L95"/>
    <mergeCell ref="H88:L88"/>
    <mergeCell ref="H73:L73"/>
    <mergeCell ref="H64:L64"/>
    <mergeCell ref="H58:L58"/>
    <mergeCell ref="E64:F64"/>
    <mergeCell ref="E73:F73"/>
    <mergeCell ref="D63:K63"/>
    <mergeCell ref="E104:F104"/>
    <mergeCell ref="H104:L104"/>
    <mergeCell ref="E107:F107"/>
    <mergeCell ref="H107:L107"/>
    <mergeCell ref="E122:F122"/>
    <mergeCell ref="H122:L122"/>
    <mergeCell ref="E117:F117"/>
    <mergeCell ref="H117:L117"/>
    <mergeCell ref="D139:K139"/>
    <mergeCell ref="D135:K135"/>
    <mergeCell ref="D121:K121"/>
    <mergeCell ref="D116:K116"/>
    <mergeCell ref="D110:K110"/>
    <mergeCell ref="E111:F111"/>
    <mergeCell ref="H111:L111"/>
    <mergeCell ref="E136:F136"/>
    <mergeCell ref="H136:L136"/>
    <mergeCell ref="E140:F140"/>
    <mergeCell ref="H140:L140"/>
    <mergeCell ref="E145:F145"/>
    <mergeCell ref="H145:L145"/>
    <mergeCell ref="D144:K144"/>
    <mergeCell ref="D297:L297"/>
    <mergeCell ref="D293:K293"/>
    <mergeCell ref="D245:K245"/>
    <mergeCell ref="D298:L298"/>
    <mergeCell ref="D299:L299"/>
    <mergeCell ref="D300:L300"/>
    <mergeCell ref="D150:L150"/>
    <mergeCell ref="D151:L151"/>
    <mergeCell ref="E246:F246"/>
    <mergeCell ref="H246:L246"/>
    <mergeCell ref="D290:K290"/>
    <mergeCell ref="D291:K291"/>
    <mergeCell ref="E152:F152"/>
    <mergeCell ref="H152:L152"/>
    <mergeCell ref="D232:K232"/>
    <mergeCell ref="E233:F233"/>
    <mergeCell ref="H233:L2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fitToHeight="0" orientation="landscape" copies="2" r:id="rId1"/>
  <rowBreaks count="9" manualBreakCount="9">
    <brk id="20" min="3" max="11" man="1"/>
    <brk id="32" min="3" max="11" man="1"/>
    <brk id="52" min="3" max="11" man="1"/>
    <brk id="70" min="3" max="11" man="1"/>
    <brk id="86" min="3" max="11" man="1"/>
    <brk id="103" min="3" max="11" man="1"/>
    <brk id="180" min="3" max="11" man="1"/>
    <brk id="230" min="3" max="11" man="1"/>
    <brk id="259" min="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Q44"/>
  <sheetViews>
    <sheetView topLeftCell="A7" workbookViewId="0">
      <selection activeCell="J7" sqref="J7"/>
    </sheetView>
  </sheetViews>
  <sheetFormatPr defaultRowHeight="15"/>
  <cols>
    <col min="4" max="4" width="8.7109375" customWidth="1"/>
    <col min="5" max="5" width="27.28515625" customWidth="1"/>
    <col min="6" max="6" width="14.140625" bestFit="1" customWidth="1"/>
    <col min="7" max="7" width="13.7109375" bestFit="1" customWidth="1"/>
    <col min="8" max="8" width="12.5703125" bestFit="1" customWidth="1"/>
    <col min="9" max="9" width="14.140625" bestFit="1" customWidth="1"/>
    <col min="10" max="15" width="12.5703125" bestFit="1" customWidth="1"/>
    <col min="16" max="16" width="14.140625" bestFit="1" customWidth="1"/>
    <col min="17" max="17" width="37.7109375" customWidth="1"/>
    <col min="18" max="18" width="11" customWidth="1"/>
  </cols>
  <sheetData>
    <row r="2" spans="4:16" ht="32.450000000000003" customHeight="1">
      <c r="D2" s="276" t="s">
        <v>411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</row>
    <row r="3" spans="4:16" ht="15.75">
      <c r="D3" s="279" t="s">
        <v>407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4:16" ht="15.75">
      <c r="D4" s="280" t="s">
        <v>408</v>
      </c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4:16" ht="26.25" thickBot="1">
      <c r="D5" s="87" t="s">
        <v>1</v>
      </c>
      <c r="E5" s="87" t="s">
        <v>401</v>
      </c>
      <c r="F5" s="88" t="s">
        <v>402</v>
      </c>
      <c r="G5" s="88" t="s">
        <v>418</v>
      </c>
      <c r="H5" s="88" t="s">
        <v>419</v>
      </c>
      <c r="I5" s="88" t="s">
        <v>420</v>
      </c>
      <c r="J5" s="88" t="s">
        <v>421</v>
      </c>
      <c r="K5" s="88" t="s">
        <v>422</v>
      </c>
      <c r="L5" s="88" t="s">
        <v>423</v>
      </c>
      <c r="M5" s="88" t="s">
        <v>424</v>
      </c>
      <c r="N5" s="88" t="s">
        <v>425</v>
      </c>
      <c r="O5" s="88" t="s">
        <v>436</v>
      </c>
      <c r="P5" s="88" t="s">
        <v>437</v>
      </c>
    </row>
    <row r="6" spans="4:16">
      <c r="D6" s="262">
        <v>1</v>
      </c>
      <c r="E6" s="274" t="s">
        <v>403</v>
      </c>
      <c r="F6" s="260">
        <f>'Orçamento '!L14+'Orçamento '!L57</f>
        <v>12963.7395</v>
      </c>
      <c r="G6" s="43" t="s">
        <v>409</v>
      </c>
      <c r="H6" s="47">
        <v>1</v>
      </c>
      <c r="I6" s="44"/>
      <c r="J6" s="44"/>
      <c r="K6" s="44"/>
      <c r="L6" s="44"/>
      <c r="M6" s="44"/>
      <c r="N6" s="44"/>
      <c r="O6" s="44"/>
      <c r="P6" s="44"/>
    </row>
    <row r="7" spans="4:16" ht="15.75" thickBot="1">
      <c r="D7" s="263"/>
      <c r="E7" s="275"/>
      <c r="F7" s="261"/>
      <c r="G7" s="33" t="s">
        <v>410</v>
      </c>
      <c r="H7" s="36">
        <f>F6*H6</f>
        <v>12963.7395</v>
      </c>
      <c r="I7" s="35"/>
      <c r="J7" s="35"/>
      <c r="K7" s="35"/>
      <c r="L7" s="35"/>
      <c r="M7" s="35"/>
      <c r="N7" s="35"/>
      <c r="O7" s="35"/>
      <c r="P7" s="36">
        <f>SUM(H7:O7)</f>
        <v>12963.7395</v>
      </c>
    </row>
    <row r="8" spans="4:16">
      <c r="D8" s="262">
        <v>2</v>
      </c>
      <c r="E8" s="272" t="s">
        <v>412</v>
      </c>
      <c r="F8" s="260">
        <f>'Orçamento '!L28+'Orçamento '!L63+'Orçamento '!L72+'Orçamento '!L84</f>
        <v>115512.34762499999</v>
      </c>
      <c r="G8" s="43" t="s">
        <v>409</v>
      </c>
      <c r="H8" s="44">
        <v>0.4</v>
      </c>
      <c r="I8" s="47">
        <v>0.6</v>
      </c>
      <c r="J8" s="44"/>
      <c r="K8" s="34"/>
      <c r="L8" s="44"/>
      <c r="M8" s="44"/>
      <c r="N8" s="44"/>
      <c r="O8" s="44"/>
      <c r="P8" s="44"/>
    </row>
    <row r="9" spans="4:16" ht="15.75" thickBot="1">
      <c r="D9" s="263"/>
      <c r="E9" s="275"/>
      <c r="F9" s="261"/>
      <c r="G9" s="33" t="s">
        <v>410</v>
      </c>
      <c r="H9" s="36">
        <f>F8*H8</f>
        <v>46204.939050000001</v>
      </c>
      <c r="I9" s="36">
        <f>F8*I8</f>
        <v>69307.408574999994</v>
      </c>
      <c r="J9" s="36"/>
      <c r="K9" s="35"/>
      <c r="L9" s="36"/>
      <c r="M9" s="36"/>
      <c r="N9" s="36"/>
      <c r="O9" s="36"/>
      <c r="P9" s="36">
        <f>SUM(H9:O9)</f>
        <v>115512.34762499999</v>
      </c>
    </row>
    <row r="10" spans="4:16">
      <c r="D10" s="262">
        <v>3</v>
      </c>
      <c r="E10" s="274" t="s">
        <v>414</v>
      </c>
      <c r="F10" s="260">
        <f>'Orçamento '!L94+'Orçamento '!L103+'Orçamento '!L106</f>
        <v>205599.62524999998</v>
      </c>
      <c r="G10" s="43" t="s">
        <v>409</v>
      </c>
      <c r="H10" s="47">
        <v>0.1</v>
      </c>
      <c r="I10" s="47">
        <v>0.1</v>
      </c>
      <c r="J10" s="47">
        <v>0.2</v>
      </c>
      <c r="K10" s="47">
        <v>0.3</v>
      </c>
      <c r="L10" s="47">
        <v>0.3</v>
      </c>
      <c r="M10" s="47"/>
      <c r="N10" s="47"/>
      <c r="O10" s="44"/>
      <c r="P10" s="44"/>
    </row>
    <row r="11" spans="4:16" ht="15.75" thickBot="1">
      <c r="D11" s="263"/>
      <c r="E11" s="275"/>
      <c r="F11" s="261"/>
      <c r="G11" s="33" t="s">
        <v>410</v>
      </c>
      <c r="H11" s="46">
        <f>F10*H10</f>
        <v>20559.962524999999</v>
      </c>
      <c r="I11" s="46">
        <f>F10*I10</f>
        <v>20559.962524999999</v>
      </c>
      <c r="J11" s="46">
        <f>F10*J10</f>
        <v>41119.925049999998</v>
      </c>
      <c r="K11" s="46">
        <f>F10*K10</f>
        <v>61679.887574999993</v>
      </c>
      <c r="L11" s="46">
        <f>F10*L10</f>
        <v>61679.887574999993</v>
      </c>
      <c r="M11" s="36"/>
      <c r="N11" s="36"/>
      <c r="O11" s="36"/>
      <c r="P11" s="36">
        <f>SUM(H11:O11)</f>
        <v>205599.62524999998</v>
      </c>
    </row>
    <row r="12" spans="4:16">
      <c r="D12" s="262">
        <v>4</v>
      </c>
      <c r="E12" s="274" t="s">
        <v>61</v>
      </c>
      <c r="F12" s="260">
        <f>'Orçamento '!L17+'Orçamento '!L87</f>
        <v>76343.897999999986</v>
      </c>
      <c r="G12" s="43" t="s">
        <v>409</v>
      </c>
      <c r="H12" s="44"/>
      <c r="I12" s="47">
        <v>0.1</v>
      </c>
      <c r="J12" s="47">
        <v>0.2</v>
      </c>
      <c r="K12" s="47">
        <v>0.3</v>
      </c>
      <c r="L12" s="47">
        <v>0.2</v>
      </c>
      <c r="M12" s="47">
        <v>0.2</v>
      </c>
      <c r="N12" s="44"/>
      <c r="O12" s="44"/>
      <c r="P12" s="44"/>
    </row>
    <row r="13" spans="4:16" ht="15.75" thickBot="1">
      <c r="D13" s="263"/>
      <c r="E13" s="275"/>
      <c r="F13" s="261"/>
      <c r="G13" s="33" t="s">
        <v>410</v>
      </c>
      <c r="H13" s="36"/>
      <c r="I13" s="36">
        <f>F12*I12</f>
        <v>7634.389799999999</v>
      </c>
      <c r="J13" s="36">
        <f>F12*J12</f>
        <v>15268.779599999998</v>
      </c>
      <c r="K13" s="36">
        <f>F12*K12</f>
        <v>22903.169399999995</v>
      </c>
      <c r="L13" s="36">
        <f>F12*L12</f>
        <v>15268.779599999998</v>
      </c>
      <c r="M13" s="36">
        <f>F12*M12</f>
        <v>15268.779599999998</v>
      </c>
      <c r="N13" s="36"/>
      <c r="O13" s="36"/>
      <c r="P13" s="36">
        <f>SUM(I13:O13)</f>
        <v>76343.897999999986</v>
      </c>
    </row>
    <row r="14" spans="4:16">
      <c r="D14" s="262">
        <v>5</v>
      </c>
      <c r="E14" s="274" t="s">
        <v>413</v>
      </c>
      <c r="F14" s="260">
        <f>'Orçamento '!L110</f>
        <v>159348.35249999998</v>
      </c>
      <c r="G14" s="43" t="s">
        <v>409</v>
      </c>
      <c r="H14" s="44"/>
      <c r="I14" s="44"/>
      <c r="J14" s="44"/>
      <c r="K14" s="44">
        <v>0.2</v>
      </c>
      <c r="L14" s="44">
        <v>0.3</v>
      </c>
      <c r="M14" s="44">
        <v>0.3</v>
      </c>
      <c r="N14" s="47">
        <v>0.2</v>
      </c>
      <c r="O14" s="44"/>
      <c r="P14" s="44"/>
    </row>
    <row r="15" spans="4:16" ht="15.75" thickBot="1">
      <c r="D15" s="263"/>
      <c r="E15" s="275"/>
      <c r="F15" s="261"/>
      <c r="G15" s="33" t="s">
        <v>410</v>
      </c>
      <c r="H15" s="35"/>
      <c r="I15" s="35"/>
      <c r="J15" s="36"/>
      <c r="K15" s="36">
        <f>F14*K14</f>
        <v>31869.670499999997</v>
      </c>
      <c r="L15" s="36">
        <f>F14*L14</f>
        <v>47804.505749999989</v>
      </c>
      <c r="M15" s="36">
        <f>F14*M14</f>
        <v>47804.505749999989</v>
      </c>
      <c r="N15" s="36">
        <f>F14*N14</f>
        <v>31869.670499999997</v>
      </c>
      <c r="O15" s="36"/>
      <c r="P15" s="36">
        <f>SUM(K15:O15)</f>
        <v>159348.35249999998</v>
      </c>
    </row>
    <row r="16" spans="4:16">
      <c r="D16" s="262">
        <v>6</v>
      </c>
      <c r="E16" s="272" t="s">
        <v>415</v>
      </c>
      <c r="F16" s="260">
        <f>'Orçamento '!L232</f>
        <v>91217.794749999986</v>
      </c>
      <c r="G16" s="43" t="s">
        <v>409</v>
      </c>
      <c r="H16" s="44">
        <v>0.3</v>
      </c>
      <c r="I16" s="47">
        <v>0.1</v>
      </c>
      <c r="J16" s="47">
        <v>0.3</v>
      </c>
      <c r="K16" s="47">
        <v>0.05</v>
      </c>
      <c r="L16" s="47">
        <v>0.05</v>
      </c>
      <c r="M16" s="47">
        <v>0.05</v>
      </c>
      <c r="N16" s="47">
        <v>0.05</v>
      </c>
      <c r="O16" s="47">
        <v>0.1</v>
      </c>
      <c r="P16" s="44"/>
    </row>
    <row r="17" spans="4:17" ht="15.75" thickBot="1">
      <c r="D17" s="263"/>
      <c r="E17" s="275"/>
      <c r="F17" s="261"/>
      <c r="G17" s="33" t="s">
        <v>410</v>
      </c>
      <c r="H17" s="46">
        <f>F16*H16</f>
        <v>27365.338424999994</v>
      </c>
      <c r="I17" s="39">
        <f>F16*I16</f>
        <v>9121.7794749999994</v>
      </c>
      <c r="J17" s="36">
        <f>F16*J16</f>
        <v>27365.338424999994</v>
      </c>
      <c r="K17" s="39">
        <f>F16*K16</f>
        <v>4560.8897374999997</v>
      </c>
      <c r="L17" s="39">
        <f>F16*L16</f>
        <v>4560.8897374999997</v>
      </c>
      <c r="M17" s="36">
        <f>F16*M16</f>
        <v>4560.8897374999997</v>
      </c>
      <c r="N17" s="36">
        <f>F16*N16</f>
        <v>4560.8897374999997</v>
      </c>
      <c r="O17" s="36">
        <f>F16*O16</f>
        <v>9121.7794749999994</v>
      </c>
      <c r="P17" s="36">
        <f>SUM(H17:O17)</f>
        <v>91217.794749999972</v>
      </c>
      <c r="Q17" s="37"/>
    </row>
    <row r="18" spans="4:17">
      <c r="D18" s="262">
        <v>7</v>
      </c>
      <c r="E18" s="274" t="s">
        <v>406</v>
      </c>
      <c r="F18" s="260">
        <f>'Orçamento '!L290</f>
        <v>61106.406125000001</v>
      </c>
      <c r="G18" s="43" t="s">
        <v>409</v>
      </c>
      <c r="H18" s="47">
        <v>0.3</v>
      </c>
      <c r="I18" s="47">
        <v>0.1</v>
      </c>
      <c r="J18" s="47">
        <v>0.3</v>
      </c>
      <c r="K18" s="47">
        <v>0.05</v>
      </c>
      <c r="L18" s="47">
        <v>0.05</v>
      </c>
      <c r="M18" s="47">
        <v>0.05</v>
      </c>
      <c r="N18" s="47">
        <v>0.05</v>
      </c>
      <c r="O18" s="47">
        <v>0.1</v>
      </c>
      <c r="P18" s="44"/>
    </row>
    <row r="19" spans="4:17" ht="15.75" thickBot="1">
      <c r="D19" s="263"/>
      <c r="E19" s="275"/>
      <c r="F19" s="261"/>
      <c r="G19" s="33" t="s">
        <v>410</v>
      </c>
      <c r="H19" s="46">
        <f>F18*H18</f>
        <v>18331.921837499998</v>
      </c>
      <c r="I19" s="39">
        <f>F18*I18</f>
        <v>6110.6406125000003</v>
      </c>
      <c r="J19" s="36">
        <f>F18*J18</f>
        <v>18331.921837499998</v>
      </c>
      <c r="K19" s="36">
        <f>F18*K18</f>
        <v>3055.3203062500002</v>
      </c>
      <c r="L19" s="36">
        <f>F18*L18</f>
        <v>3055.3203062500002</v>
      </c>
      <c r="M19" s="36">
        <f>F18*M18</f>
        <v>3055.3203062500002</v>
      </c>
      <c r="N19" s="36">
        <f>F18*N18</f>
        <v>3055.3203062500002</v>
      </c>
      <c r="O19" s="36">
        <f>F18*O18</f>
        <v>6110.6406125000003</v>
      </c>
      <c r="P19" s="36">
        <f>SUM(H19:O19)</f>
        <v>61106.406125000009</v>
      </c>
    </row>
    <row r="20" spans="4:17">
      <c r="D20" s="262">
        <v>8</v>
      </c>
      <c r="E20" s="270" t="s">
        <v>288</v>
      </c>
      <c r="F20" s="260">
        <f>'Orçamento '!L245</f>
        <v>7781.9750000000004</v>
      </c>
      <c r="G20" s="43" t="s">
        <v>409</v>
      </c>
      <c r="H20" s="44"/>
      <c r="I20" s="44"/>
      <c r="J20" s="44"/>
      <c r="K20" s="47">
        <v>0.1</v>
      </c>
      <c r="L20" s="47">
        <v>0.1</v>
      </c>
      <c r="M20" s="47">
        <v>0.2</v>
      </c>
      <c r="N20" s="47">
        <v>0.3</v>
      </c>
      <c r="O20" s="47">
        <v>0.3</v>
      </c>
      <c r="P20" s="44"/>
    </row>
    <row r="21" spans="4:17" ht="15.75" thickBot="1">
      <c r="D21" s="263"/>
      <c r="E21" s="271"/>
      <c r="F21" s="261"/>
      <c r="G21" s="33" t="s">
        <v>410</v>
      </c>
      <c r="H21" s="35"/>
      <c r="I21" s="35"/>
      <c r="J21" s="36"/>
      <c r="K21" s="36">
        <f>F20*K20</f>
        <v>778.1975000000001</v>
      </c>
      <c r="L21" s="36">
        <f>F20*L20</f>
        <v>778.1975000000001</v>
      </c>
      <c r="M21" s="36">
        <f>F20*M20</f>
        <v>1556.3950000000002</v>
      </c>
      <c r="N21" s="36">
        <f>F20*N20</f>
        <v>2334.5925000000002</v>
      </c>
      <c r="O21" s="36">
        <f>F20*O20</f>
        <v>2334.5925000000002</v>
      </c>
      <c r="P21" s="36">
        <f>SUM(K21:O21)</f>
        <v>7781.9750000000004</v>
      </c>
    </row>
    <row r="22" spans="4:17">
      <c r="D22" s="262">
        <v>9</v>
      </c>
      <c r="E22" s="274" t="s">
        <v>404</v>
      </c>
      <c r="F22" s="260">
        <f>'Orçamento '!L25+'Orçamento '!L135</f>
        <v>185993.70787499993</v>
      </c>
      <c r="G22" s="43" t="s">
        <v>409</v>
      </c>
      <c r="H22" s="44"/>
      <c r="I22" s="44"/>
      <c r="J22" s="44"/>
      <c r="K22" s="47">
        <v>0.2</v>
      </c>
      <c r="L22" s="47">
        <v>0.1</v>
      </c>
      <c r="M22" s="47">
        <v>0.2</v>
      </c>
      <c r="N22" s="47">
        <v>0.2</v>
      </c>
      <c r="O22" s="47">
        <v>0.3</v>
      </c>
      <c r="P22" s="44"/>
    </row>
    <row r="23" spans="4:17" ht="15.75" thickBot="1">
      <c r="D23" s="263"/>
      <c r="E23" s="275"/>
      <c r="F23" s="261"/>
      <c r="G23" s="33" t="s">
        <v>410</v>
      </c>
      <c r="H23" s="35"/>
      <c r="I23" s="35"/>
      <c r="J23" s="36"/>
      <c r="K23" s="36">
        <f>F22*K22</f>
        <v>37198.741574999985</v>
      </c>
      <c r="L23" s="36">
        <f>F22*L22</f>
        <v>18599.370787499993</v>
      </c>
      <c r="M23" s="36">
        <f>F22*M22</f>
        <v>37198.741574999985</v>
      </c>
      <c r="N23" s="36">
        <f>F22*N22</f>
        <v>37198.741574999985</v>
      </c>
      <c r="O23" s="36">
        <f>F22*O22</f>
        <v>55798.112362499982</v>
      </c>
      <c r="P23" s="36">
        <f>SUM(K23:O23)</f>
        <v>185993.70787499993</v>
      </c>
    </row>
    <row r="24" spans="4:17">
      <c r="D24" s="262">
        <v>10</v>
      </c>
      <c r="E24" s="270" t="s">
        <v>416</v>
      </c>
      <c r="F24" s="260">
        <f>'Orçamento '!L34+'Orçamento '!L116</f>
        <v>135218.88737499999</v>
      </c>
      <c r="G24" s="43" t="s">
        <v>409</v>
      </c>
      <c r="H24" s="44"/>
      <c r="I24" s="44"/>
      <c r="J24" s="47">
        <v>0.1</v>
      </c>
      <c r="K24" s="47">
        <v>0.1</v>
      </c>
      <c r="L24" s="44">
        <v>0.1</v>
      </c>
      <c r="M24" s="47">
        <v>0.2</v>
      </c>
      <c r="N24" s="47">
        <v>0.3</v>
      </c>
      <c r="O24" s="47">
        <v>0.2</v>
      </c>
      <c r="P24" s="44"/>
    </row>
    <row r="25" spans="4:17" ht="15.75" thickBot="1">
      <c r="D25" s="263"/>
      <c r="E25" s="271"/>
      <c r="F25" s="261"/>
      <c r="G25" s="33" t="s">
        <v>410</v>
      </c>
      <c r="H25" s="35"/>
      <c r="I25" s="35"/>
      <c r="J25" s="36">
        <f>F24*J24</f>
        <v>13521.888737499999</v>
      </c>
      <c r="K25" s="36">
        <f>F24*K24</f>
        <v>13521.888737499999</v>
      </c>
      <c r="L25" s="36">
        <f>F24*L24</f>
        <v>13521.888737499999</v>
      </c>
      <c r="M25" s="36">
        <f>F24*M24</f>
        <v>27043.777474999999</v>
      </c>
      <c r="N25" s="36">
        <f>F24*N24</f>
        <v>40565.666212499993</v>
      </c>
      <c r="O25" s="36">
        <f>F24*O24</f>
        <v>27043.777474999999</v>
      </c>
      <c r="P25" s="36">
        <f>SUM(J25:O25)</f>
        <v>135218.88737499999</v>
      </c>
    </row>
    <row r="26" spans="4:17">
      <c r="D26" s="262">
        <v>11</v>
      </c>
      <c r="E26" s="270" t="s">
        <v>405</v>
      </c>
      <c r="F26" s="260">
        <f>'Orçamento '!L38+'Orçamento '!L121</f>
        <v>153906.55875</v>
      </c>
      <c r="G26" s="43" t="s">
        <v>409</v>
      </c>
      <c r="H26" s="44"/>
      <c r="I26" s="47"/>
      <c r="J26" s="47"/>
      <c r="K26" s="47">
        <v>0.1</v>
      </c>
      <c r="L26" s="47">
        <v>0.1</v>
      </c>
      <c r="M26" s="47">
        <v>0.2</v>
      </c>
      <c r="N26" s="47">
        <v>0.2</v>
      </c>
      <c r="O26" s="47">
        <v>0.4</v>
      </c>
      <c r="P26" s="44"/>
    </row>
    <row r="27" spans="4:17" ht="15.75" thickBot="1">
      <c r="D27" s="263"/>
      <c r="E27" s="271"/>
      <c r="F27" s="261"/>
      <c r="G27" s="33" t="s">
        <v>410</v>
      </c>
      <c r="H27" s="35"/>
      <c r="I27" s="48"/>
      <c r="J27" s="48"/>
      <c r="K27" s="36">
        <f>F26*K26</f>
        <v>15390.655875</v>
      </c>
      <c r="L27" s="36">
        <f>F26*L26</f>
        <v>15390.655875</v>
      </c>
      <c r="M27" s="36">
        <f>F26*M26</f>
        <v>30781.311750000001</v>
      </c>
      <c r="N27" s="36">
        <f>F26*N26</f>
        <v>30781.311750000001</v>
      </c>
      <c r="O27" s="36">
        <f>F26*O26</f>
        <v>61562.623500000002</v>
      </c>
      <c r="P27" s="36">
        <f>SUM(K27:O27)</f>
        <v>153906.55875000003</v>
      </c>
    </row>
    <row r="28" spans="4:17">
      <c r="D28" s="262">
        <v>12</v>
      </c>
      <c r="E28" s="270" t="s">
        <v>50</v>
      </c>
      <c r="F28" s="260">
        <f>'Orçamento '!L43+'Orçamento '!L144</f>
        <v>47406.249874999994</v>
      </c>
      <c r="G28" s="43" t="s">
        <v>409</v>
      </c>
      <c r="H28" s="44"/>
      <c r="I28" s="44"/>
      <c r="J28" s="47">
        <v>0.2</v>
      </c>
      <c r="K28" s="47">
        <v>0.1</v>
      </c>
      <c r="L28" s="47">
        <v>0.1</v>
      </c>
      <c r="M28" s="47">
        <v>0.1</v>
      </c>
      <c r="N28" s="47">
        <v>0.2</v>
      </c>
      <c r="O28" s="47">
        <v>0.3</v>
      </c>
      <c r="P28" s="44"/>
    </row>
    <row r="29" spans="4:17" ht="15.75" thickBot="1">
      <c r="D29" s="263"/>
      <c r="E29" s="271"/>
      <c r="F29" s="261"/>
      <c r="G29" s="33" t="s">
        <v>410</v>
      </c>
      <c r="H29" s="35"/>
      <c r="I29" s="35"/>
      <c r="J29" s="36">
        <f>F28*J28</f>
        <v>9481.2499749999988</v>
      </c>
      <c r="K29" s="36">
        <f>F28*K28</f>
        <v>4740.6249874999994</v>
      </c>
      <c r="L29" s="36">
        <f>F28*L28</f>
        <v>4740.6249874999994</v>
      </c>
      <c r="M29" s="36">
        <f>F28*M28</f>
        <v>4740.6249874999994</v>
      </c>
      <c r="N29" s="36">
        <f>F28*N28</f>
        <v>9481.2499749999988</v>
      </c>
      <c r="O29" s="36">
        <f>F28*O28</f>
        <v>14221.874962499998</v>
      </c>
      <c r="P29" s="36">
        <f>SUM(J29:O29)</f>
        <v>47406.249874999994</v>
      </c>
    </row>
    <row r="30" spans="4:17">
      <c r="D30" s="262">
        <v>13</v>
      </c>
      <c r="E30" s="270" t="s">
        <v>417</v>
      </c>
      <c r="F30" s="260">
        <f>'Orçamento '!L47+'Orçamento '!L139</f>
        <v>13001.728500000001</v>
      </c>
      <c r="G30" s="43" t="s">
        <v>409</v>
      </c>
      <c r="H30" s="44"/>
      <c r="I30" s="44"/>
      <c r="J30" s="44">
        <v>0.3</v>
      </c>
      <c r="K30" s="47">
        <v>0.1</v>
      </c>
      <c r="L30" s="47">
        <v>0.2</v>
      </c>
      <c r="M30" s="47">
        <v>0.2</v>
      </c>
      <c r="N30" s="47">
        <v>0.2</v>
      </c>
      <c r="O30" s="44"/>
      <c r="P30" s="44"/>
    </row>
    <row r="31" spans="4:17" ht="15.75" thickBot="1">
      <c r="D31" s="263"/>
      <c r="E31" s="271"/>
      <c r="F31" s="261"/>
      <c r="G31" s="33" t="s">
        <v>410</v>
      </c>
      <c r="H31" s="35"/>
      <c r="I31" s="35"/>
      <c r="J31" s="36">
        <f>F30*J30</f>
        <v>3900.5185500000002</v>
      </c>
      <c r="K31" s="36">
        <f>F30*K30</f>
        <v>1300.1728500000002</v>
      </c>
      <c r="L31" s="36">
        <f>F30*L30</f>
        <v>2600.3457000000003</v>
      </c>
      <c r="M31" s="36">
        <f>F30*M30</f>
        <v>2600.3457000000003</v>
      </c>
      <c r="N31" s="36">
        <f>F30*N30</f>
        <v>2600.3457000000003</v>
      </c>
      <c r="O31" s="36"/>
      <c r="P31" s="36">
        <f>SUM(J31:O31)</f>
        <v>13001.728500000001</v>
      </c>
    </row>
    <row r="32" spans="4:17">
      <c r="D32" s="262">
        <v>14</v>
      </c>
      <c r="E32" s="272" t="s">
        <v>63</v>
      </c>
      <c r="F32" s="260">
        <f>'Orçamento '!L50+'Orçamento '!L147</f>
        <v>1501.1082499999998</v>
      </c>
      <c r="G32" s="43" t="s">
        <v>409</v>
      </c>
      <c r="H32" s="44"/>
      <c r="I32" s="44"/>
      <c r="J32" s="44"/>
      <c r="K32" s="44"/>
      <c r="L32" s="44"/>
      <c r="M32" s="44"/>
      <c r="N32" s="44"/>
      <c r="O32" s="47">
        <v>1</v>
      </c>
      <c r="P32" s="44"/>
    </row>
    <row r="33" spans="4:16" ht="15.75" thickBot="1">
      <c r="D33" s="263"/>
      <c r="E33" s="273"/>
      <c r="F33" s="261"/>
      <c r="G33" s="33" t="s">
        <v>410</v>
      </c>
      <c r="H33" s="35"/>
      <c r="I33" s="35"/>
      <c r="J33" s="36"/>
      <c r="K33" s="36"/>
      <c r="L33" s="36"/>
      <c r="M33" s="36"/>
      <c r="N33" s="36"/>
      <c r="O33" s="36">
        <f>F32*O32</f>
        <v>1501.1082499999998</v>
      </c>
      <c r="P33" s="36">
        <f>SUM(O33)</f>
        <v>1501.1082499999998</v>
      </c>
    </row>
    <row r="34" spans="4:16">
      <c r="D34" s="266" t="s">
        <v>426</v>
      </c>
      <c r="E34" s="267"/>
      <c r="F34" s="264">
        <f>SUM(F6:F33)</f>
        <v>1266902.379375</v>
      </c>
      <c r="G34" s="84" t="s">
        <v>409</v>
      </c>
      <c r="H34" s="85">
        <f>H35/F34</f>
        <v>9.9002025238421498E-2</v>
      </c>
      <c r="I34" s="85">
        <f>I35/F34</f>
        <v>8.8984110238324018E-2</v>
      </c>
      <c r="J34" s="85">
        <f>J35/F34</f>
        <v>0.10181496560029696</v>
      </c>
      <c r="K34" s="85">
        <f>K35/F34</f>
        <v>0.15549676301100279</v>
      </c>
      <c r="L34" s="85">
        <f>L35/F34</f>
        <v>0.14839380651332909</v>
      </c>
      <c r="M34" s="85">
        <f>M35/F34</f>
        <v>0.13782489852721766</v>
      </c>
      <c r="N34" s="85">
        <f>N35/F34</f>
        <v>0.12822439274002329</v>
      </c>
      <c r="O34" s="85">
        <f>O35/F34</f>
        <v>0.14025903813138457</v>
      </c>
      <c r="P34" s="86">
        <f>P35/F34</f>
        <v>1</v>
      </c>
    </row>
    <row r="35" spans="4:16" ht="15.75" thickBot="1">
      <c r="D35" s="268"/>
      <c r="E35" s="269"/>
      <c r="F35" s="265"/>
      <c r="G35" s="170" t="s">
        <v>410</v>
      </c>
      <c r="H35" s="171">
        <f>H7+H9+H11+H17+H19</f>
        <v>125425.90133749999</v>
      </c>
      <c r="I35" s="171">
        <f>I9+I11+I13+I17+I19</f>
        <v>112734.1809875</v>
      </c>
      <c r="J35" s="171">
        <f>J11+J13+J17+J19+J25+J29+J31</f>
        <v>128989.622175</v>
      </c>
      <c r="K35" s="171">
        <f>K11+K13+K15+K17+K19+K21+K23+K25+K27+K29+K31</f>
        <v>196999.21904374994</v>
      </c>
      <c r="L35" s="171">
        <f>L11+L13+L15+L17+L19+L21+L23+L25+L27+L29+L31</f>
        <v>188000.46655625</v>
      </c>
      <c r="M35" s="171">
        <f>M13+M15+M17+M19+M21+M23+M25+M27+M29+M31</f>
        <v>174610.69188124998</v>
      </c>
      <c r="N35" s="171">
        <f>N15+N17+N19+N21+N23+N25+N27+N29+N31</f>
        <v>162447.78825624997</v>
      </c>
      <c r="O35" s="171">
        <f>O17+O19+O21+O23+O25+O27+O29+O33</f>
        <v>177694.50913749996</v>
      </c>
      <c r="P35" s="172">
        <f>SUM(H35:O35)</f>
        <v>1266902.379375</v>
      </c>
    </row>
    <row r="36" spans="4:16">
      <c r="D36" s="7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71"/>
    </row>
    <row r="37" spans="4:16" ht="15.75">
      <c r="D37" s="114"/>
      <c r="E37" s="53"/>
      <c r="F37" s="53"/>
      <c r="G37" s="53"/>
      <c r="H37" s="53"/>
      <c r="I37" s="53"/>
      <c r="J37" s="53"/>
      <c r="K37" s="53"/>
      <c r="L37" s="53"/>
      <c r="M37" s="54"/>
      <c r="N37" s="54"/>
      <c r="O37" s="54"/>
      <c r="P37" s="71"/>
    </row>
    <row r="38" spans="4:16" ht="15.75">
      <c r="D38" s="114"/>
      <c r="E38" s="53"/>
      <c r="F38" s="53"/>
      <c r="G38" s="53"/>
      <c r="H38" s="53"/>
      <c r="I38" s="53"/>
      <c r="J38" s="53"/>
      <c r="K38" s="53"/>
      <c r="L38" s="53"/>
      <c r="M38" s="54"/>
      <c r="N38" s="54"/>
      <c r="O38" s="54"/>
      <c r="P38" s="71"/>
    </row>
    <row r="39" spans="4:16" ht="15.75">
      <c r="D39" s="112"/>
      <c r="E39" s="95"/>
      <c r="F39" s="95"/>
      <c r="G39" s="116"/>
      <c r="H39" s="117"/>
      <c r="I39" s="118"/>
      <c r="J39" s="119"/>
      <c r="K39" s="173"/>
      <c r="L39" s="173"/>
      <c r="M39" s="54"/>
      <c r="N39" s="54"/>
      <c r="O39" s="54"/>
      <c r="P39" s="71"/>
    </row>
    <row r="40" spans="4:16">
      <c r="D40" s="222" t="s">
        <v>510</v>
      </c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4"/>
    </row>
    <row r="41" spans="4:16">
      <c r="D41" s="222" t="s">
        <v>511</v>
      </c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4"/>
    </row>
    <row r="42" spans="4:16">
      <c r="D42" s="222" t="s">
        <v>512</v>
      </c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4"/>
    </row>
    <row r="43" spans="4:16">
      <c r="D43" s="225" t="s">
        <v>513</v>
      </c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7"/>
    </row>
    <row r="44" spans="4:16"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51">
    <mergeCell ref="D24:D25"/>
    <mergeCell ref="E24:E25"/>
    <mergeCell ref="F24:F25"/>
    <mergeCell ref="D26:D27"/>
    <mergeCell ref="E26:E27"/>
    <mergeCell ref="F26:F27"/>
    <mergeCell ref="D22:D23"/>
    <mergeCell ref="E22:E23"/>
    <mergeCell ref="F22:F23"/>
    <mergeCell ref="D16:D17"/>
    <mergeCell ref="E16:E17"/>
    <mergeCell ref="F16:F17"/>
    <mergeCell ref="D18:D19"/>
    <mergeCell ref="D2:P2"/>
    <mergeCell ref="D3:P3"/>
    <mergeCell ref="D4:P4"/>
    <mergeCell ref="D20:D21"/>
    <mergeCell ref="E20:E21"/>
    <mergeCell ref="F20:F21"/>
    <mergeCell ref="D10:D11"/>
    <mergeCell ref="E10:E11"/>
    <mergeCell ref="F10:F11"/>
    <mergeCell ref="E18:E19"/>
    <mergeCell ref="F18:F19"/>
    <mergeCell ref="D12:D13"/>
    <mergeCell ref="E12:E13"/>
    <mergeCell ref="F12:F13"/>
    <mergeCell ref="D14:D15"/>
    <mergeCell ref="E14:E15"/>
    <mergeCell ref="F14:F15"/>
    <mergeCell ref="D6:D7"/>
    <mergeCell ref="E6:E7"/>
    <mergeCell ref="F6:F7"/>
    <mergeCell ref="D8:D9"/>
    <mergeCell ref="E8:E9"/>
    <mergeCell ref="F8:F9"/>
    <mergeCell ref="D40:P40"/>
    <mergeCell ref="D41:P41"/>
    <mergeCell ref="D42:P42"/>
    <mergeCell ref="D43:P43"/>
    <mergeCell ref="F28:F29"/>
    <mergeCell ref="D30:D31"/>
    <mergeCell ref="F34:F35"/>
    <mergeCell ref="D34:E35"/>
    <mergeCell ref="E30:E31"/>
    <mergeCell ref="F30:F31"/>
    <mergeCell ref="D32:D33"/>
    <mergeCell ref="E32:E33"/>
    <mergeCell ref="F32:F33"/>
    <mergeCell ref="D28:D29"/>
    <mergeCell ref="E28:E29"/>
  </mergeCells>
  <printOptions horizontalCentered="1"/>
  <pageMargins left="0.31496062992125984" right="0.31496062992125984" top="0.39370078740157483" bottom="0.19685039370078741" header="0.31496062992125984" footer="0.31496062992125984"/>
  <pageSetup paperSize="9" scale="78" fitToHeight="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Memória de Cálculo </vt:lpstr>
      <vt:lpstr>BDI</vt:lpstr>
      <vt:lpstr>Orçamento </vt:lpstr>
      <vt:lpstr>Cronograma </vt:lpstr>
      <vt:lpstr>BDI!Area_de_impressao</vt:lpstr>
      <vt:lpstr>'Cronograma '!Area_de_impressao</vt:lpstr>
      <vt:lpstr>'Memória de Cálculo '!Area_de_impressao</vt:lpstr>
      <vt:lpstr>'Orçamento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Víctor</dc:creator>
  <cp:lastModifiedBy>pc-usuario</cp:lastModifiedBy>
  <cp:lastPrinted>2021-10-06T20:35:47Z</cp:lastPrinted>
  <dcterms:created xsi:type="dcterms:W3CDTF">2020-02-06T18:01:06Z</dcterms:created>
  <dcterms:modified xsi:type="dcterms:W3CDTF">2021-10-07T17:03:16Z</dcterms:modified>
</cp:coreProperties>
</file>