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Isabelecompras\backup\Licitaçoes\LICITAÇÃO 2020\TOMADA DE PREÇOS 2020\TP 006-2020 - REFORMA E AMPLIAÇÃO ESCOLA ANTÔNIO RODRIGUES\"/>
    </mc:Choice>
  </mc:AlternateContent>
  <bookViews>
    <workbookView xWindow="0" yWindow="0" windowWidth="28800" windowHeight="12435"/>
  </bookViews>
  <sheets>
    <sheet name="Orçamento Sintético" sheetId="1" r:id="rId1"/>
    <sheet name="BDI" sheetId="2" r:id="rId2"/>
    <sheet name="CRONOGRAMA" sheetId="3" r:id="rId3"/>
    <sheet name="Memória de Cálculo" sheetId="4" r:id="rId4"/>
  </sheets>
  <externalReferences>
    <externalReference r:id="rId5"/>
  </externalReferences>
  <definedNames>
    <definedName name="_xlnm.Print_Area" localSheetId="1">BDI!$C$2:$I$40</definedName>
    <definedName name="_xlnm.Print_Area" localSheetId="2">CRONOGRAMA!$D$2:$N$65</definedName>
    <definedName name="_xlnm.Print_Area" localSheetId="3">'Memória de Cálculo'!$B$1:$I$127</definedName>
    <definedName name="_xlnm.Print_Area" localSheetId="0">'Orçamento Sintético'!$B$3:$J$134</definedName>
    <definedName name="_xlnm.Print_Titles" localSheetId="0">'[1]repeated header'!$4:$4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1" i="3" l="1"/>
  <c r="K31" i="3"/>
  <c r="I55" i="1"/>
  <c r="J55" i="1" s="1"/>
  <c r="I56" i="1"/>
  <c r="J56" i="1" s="1"/>
  <c r="I57" i="1"/>
  <c r="J57" i="1" s="1"/>
  <c r="I75" i="1"/>
  <c r="J75" i="1" s="1"/>
  <c r="I72" i="1"/>
  <c r="J72" i="1" s="1"/>
  <c r="I71" i="1"/>
  <c r="J71" i="1" s="1"/>
  <c r="I102" i="1"/>
  <c r="J102" i="1" s="1"/>
  <c r="I104" i="1"/>
  <c r="J104" i="1" s="1"/>
  <c r="H27" i="4"/>
  <c r="H63" i="4"/>
  <c r="G65" i="1"/>
  <c r="J54" i="1" l="1"/>
  <c r="H31" i="4"/>
  <c r="H30" i="4"/>
  <c r="H29" i="4"/>
  <c r="H47" i="4" l="1"/>
  <c r="H46" i="4"/>
  <c r="H48" i="4"/>
  <c r="H33" i="4"/>
  <c r="L37" i="4"/>
  <c r="H32" i="4"/>
  <c r="M32" i="4"/>
  <c r="H37" i="4"/>
  <c r="H39" i="4"/>
  <c r="H42" i="4"/>
  <c r="H40" i="4"/>
  <c r="L45" i="4"/>
  <c r="H41" i="4"/>
  <c r="L41" i="4"/>
  <c r="L42" i="4"/>
  <c r="L33" i="4"/>
  <c r="H58" i="4"/>
  <c r="H57" i="4"/>
  <c r="H26" i="4"/>
  <c r="K27" i="4"/>
  <c r="K26" i="4"/>
  <c r="H25" i="4"/>
  <c r="H75" i="4" l="1"/>
  <c r="H60" i="4"/>
  <c r="I116" i="1" l="1"/>
  <c r="I117" i="1"/>
  <c r="J117" i="1" s="1"/>
  <c r="I118" i="1"/>
  <c r="I119" i="1"/>
  <c r="J119" i="1" s="1"/>
  <c r="N17" i="3"/>
  <c r="M55" i="3"/>
  <c r="L55" i="3"/>
  <c r="K55" i="3"/>
  <c r="J55" i="3"/>
  <c r="I55" i="3"/>
  <c r="H55" i="3"/>
  <c r="N55" i="3" s="1"/>
  <c r="M53" i="3"/>
  <c r="N53" i="3" s="1"/>
  <c r="M51" i="3"/>
  <c r="L51" i="3"/>
  <c r="K51" i="3"/>
  <c r="J51" i="3"/>
  <c r="I51" i="3"/>
  <c r="H51" i="3"/>
  <c r="M49" i="3"/>
  <c r="L49" i="3"/>
  <c r="K49" i="3"/>
  <c r="J49" i="3"/>
  <c r="I49" i="3"/>
  <c r="M47" i="3"/>
  <c r="N47" i="3" s="1"/>
  <c r="M45" i="3"/>
  <c r="L45" i="3"/>
  <c r="M43" i="3"/>
  <c r="N43" i="3" s="1"/>
  <c r="M41" i="3"/>
  <c r="L41" i="3"/>
  <c r="K41" i="3"/>
  <c r="M39" i="3"/>
  <c r="L39" i="3"/>
  <c r="K39" i="3"/>
  <c r="L37" i="3"/>
  <c r="K37" i="3"/>
  <c r="K35" i="3"/>
  <c r="J35" i="3"/>
  <c r="L33" i="3"/>
  <c r="L29" i="3"/>
  <c r="N29" i="3" s="1"/>
  <c r="K29" i="3"/>
  <c r="K27" i="3"/>
  <c r="J27" i="3"/>
  <c r="K25" i="3"/>
  <c r="J25" i="3"/>
  <c r="I25" i="3"/>
  <c r="K23" i="3"/>
  <c r="J23" i="3"/>
  <c r="I23" i="3"/>
  <c r="J21" i="3"/>
  <c r="I21" i="3"/>
  <c r="I19" i="3"/>
  <c r="N19" i="3" s="1"/>
  <c r="I17" i="3"/>
  <c r="I85" i="1"/>
  <c r="J85" i="1" s="1"/>
  <c r="J84" i="1" s="1"/>
  <c r="I86" i="1"/>
  <c r="J86" i="1" s="1"/>
  <c r="K57" i="3" l="1"/>
  <c r="N39" i="3"/>
  <c r="N33" i="3"/>
  <c r="N27" i="3"/>
  <c r="N51" i="3"/>
  <c r="N49" i="3"/>
  <c r="N45" i="3"/>
  <c r="N41" i="3"/>
  <c r="N35" i="3"/>
  <c r="N25" i="3"/>
  <c r="N23" i="3"/>
  <c r="I57" i="3"/>
  <c r="J57" i="3"/>
  <c r="N37" i="3"/>
  <c r="E11" i="3"/>
  <c r="E9" i="3"/>
  <c r="E7" i="3"/>
  <c r="E14" i="3"/>
  <c r="I125" i="1" l="1"/>
  <c r="J125" i="1" s="1"/>
  <c r="I124" i="1"/>
  <c r="J124" i="1" s="1"/>
  <c r="I123" i="1"/>
  <c r="J123" i="1" s="1"/>
  <c r="I122" i="1"/>
  <c r="J122" i="1" s="1"/>
  <c r="I121" i="1"/>
  <c r="J121" i="1" s="1"/>
  <c r="I120" i="1"/>
  <c r="J120" i="1" s="1"/>
  <c r="J118" i="1"/>
  <c r="J116" i="1"/>
  <c r="I115" i="1"/>
  <c r="J115" i="1" s="1"/>
  <c r="I114" i="1"/>
  <c r="J114" i="1" s="1"/>
  <c r="I113" i="1"/>
  <c r="J113" i="1" s="1"/>
  <c r="J112" i="1" s="1"/>
  <c r="I111" i="1"/>
  <c r="J111" i="1" s="1"/>
  <c r="I110" i="1"/>
  <c r="J110" i="1" s="1"/>
  <c r="I109" i="1"/>
  <c r="J109" i="1" s="1"/>
  <c r="I108" i="1"/>
  <c r="J108" i="1" s="1"/>
  <c r="I107" i="1"/>
  <c r="J107" i="1" s="1"/>
  <c r="I105" i="1"/>
  <c r="J105" i="1" s="1"/>
  <c r="I103" i="1"/>
  <c r="J103" i="1" s="1"/>
  <c r="I101" i="1"/>
  <c r="J101" i="1" s="1"/>
  <c r="I100" i="1"/>
  <c r="J100" i="1" s="1"/>
  <c r="I99" i="1"/>
  <c r="J99" i="1" s="1"/>
  <c r="I98" i="1"/>
  <c r="J98" i="1" s="1"/>
  <c r="I97" i="1"/>
  <c r="J97" i="1" s="1"/>
  <c r="I96" i="1"/>
  <c r="J96" i="1" s="1"/>
  <c r="I95" i="1"/>
  <c r="J95" i="1" s="1"/>
  <c r="I94" i="1"/>
  <c r="J94" i="1" s="1"/>
  <c r="I93" i="1"/>
  <c r="J93" i="1" s="1"/>
  <c r="I92" i="1"/>
  <c r="J92" i="1" s="1"/>
  <c r="I91" i="1"/>
  <c r="J91" i="1" s="1"/>
  <c r="I90" i="1"/>
  <c r="J90" i="1" s="1"/>
  <c r="I89" i="1"/>
  <c r="J89" i="1" s="1"/>
  <c r="I88" i="1"/>
  <c r="J88" i="1" s="1"/>
  <c r="I83" i="1"/>
  <c r="J83" i="1" s="1"/>
  <c r="J82" i="1" s="1"/>
  <c r="I81" i="1"/>
  <c r="J81" i="1" s="1"/>
  <c r="I80" i="1"/>
  <c r="J80" i="1" s="1"/>
  <c r="I79" i="1"/>
  <c r="J79" i="1" s="1"/>
  <c r="I77" i="1"/>
  <c r="J77" i="1" s="1"/>
  <c r="J76" i="1" s="1"/>
  <c r="I74" i="1"/>
  <c r="J74" i="1" s="1"/>
  <c r="J73" i="1" s="1"/>
  <c r="I70" i="1"/>
  <c r="J70" i="1" s="1"/>
  <c r="J69" i="1" s="1"/>
  <c r="I68" i="1"/>
  <c r="J68" i="1" s="1"/>
  <c r="I67" i="1"/>
  <c r="J67" i="1" s="1"/>
  <c r="J66" i="1" s="1"/>
  <c r="I65" i="1"/>
  <c r="J65" i="1" s="1"/>
  <c r="I64" i="1"/>
  <c r="J64" i="1" s="1"/>
  <c r="I63" i="1"/>
  <c r="J63" i="1" s="1"/>
  <c r="I62" i="1"/>
  <c r="J62" i="1" s="1"/>
  <c r="J61" i="1" s="1"/>
  <c r="I60" i="1"/>
  <c r="J60" i="1" s="1"/>
  <c r="I59" i="1"/>
  <c r="J59" i="1" s="1"/>
  <c r="J58" i="1" s="1"/>
  <c r="I51" i="1"/>
  <c r="J51" i="1" s="1"/>
  <c r="I53" i="1"/>
  <c r="J53" i="1" s="1"/>
  <c r="J52" i="1" s="1"/>
  <c r="I50" i="1"/>
  <c r="J50" i="1" s="1"/>
  <c r="I49" i="1"/>
  <c r="J49" i="1" s="1"/>
  <c r="I48" i="1"/>
  <c r="J48" i="1" s="1"/>
  <c r="I47" i="1"/>
  <c r="J47" i="1" s="1"/>
  <c r="J46" i="1" s="1"/>
  <c r="I45" i="1"/>
  <c r="J45" i="1" s="1"/>
  <c r="I44" i="1"/>
  <c r="J44" i="1" s="1"/>
  <c r="I43" i="1"/>
  <c r="J43" i="1" s="1"/>
  <c r="I42" i="1"/>
  <c r="J42" i="1" s="1"/>
  <c r="I41" i="1"/>
  <c r="J41" i="1" s="1"/>
  <c r="I39" i="1"/>
  <c r="J39" i="1" s="1"/>
  <c r="J38" i="1" s="1"/>
  <c r="I37" i="1"/>
  <c r="J37" i="1" s="1"/>
  <c r="I36" i="1"/>
  <c r="J36" i="1" s="1"/>
  <c r="I35" i="1"/>
  <c r="J35" i="1" s="1"/>
  <c r="I34" i="1"/>
  <c r="J34" i="1" s="1"/>
  <c r="I33" i="1"/>
  <c r="J33" i="1" s="1"/>
  <c r="I32" i="1"/>
  <c r="J32" i="1" s="1"/>
  <c r="I31" i="1"/>
  <c r="J31" i="1" s="1"/>
  <c r="I29" i="1"/>
  <c r="J29" i="1" s="1"/>
  <c r="I28" i="1"/>
  <c r="J28" i="1" s="1"/>
  <c r="I27" i="1"/>
  <c r="J27" i="1" s="1"/>
  <c r="J26" i="1" s="1"/>
  <c r="I25" i="1"/>
  <c r="J25" i="1" s="1"/>
  <c r="I24" i="1"/>
  <c r="J24" i="1" s="1"/>
  <c r="I23" i="1"/>
  <c r="J23" i="1" s="1"/>
  <c r="I22" i="1"/>
  <c r="J22" i="1" s="1"/>
  <c r="J21" i="1" s="1"/>
  <c r="I20" i="1"/>
  <c r="J20" i="1" s="1"/>
  <c r="I19" i="1"/>
  <c r="J19" i="1" s="1"/>
  <c r="J18" i="1" s="1"/>
  <c r="I16" i="1"/>
  <c r="J16" i="1" s="1"/>
  <c r="J15" i="1" s="1"/>
  <c r="I14" i="1"/>
  <c r="J14" i="1" s="1"/>
  <c r="I12" i="1"/>
  <c r="J12" i="1" s="1"/>
  <c r="I11" i="1"/>
  <c r="J11" i="1" s="1"/>
  <c r="I10" i="1"/>
  <c r="J10" i="1" s="1"/>
  <c r="J13" i="1" l="1"/>
  <c r="F9" i="3" s="1"/>
  <c r="J9" i="1"/>
  <c r="J8" i="1" s="1"/>
  <c r="J30" i="1"/>
  <c r="J17" i="1" s="1"/>
  <c r="J40" i="1"/>
  <c r="J78" i="1"/>
  <c r="J87" i="1"/>
  <c r="J106" i="1"/>
  <c r="F11" i="3"/>
  <c r="M10" i="3" l="1"/>
  <c r="L10" i="3"/>
  <c r="F7" i="3"/>
  <c r="M12" i="3"/>
  <c r="M57" i="3" s="1"/>
  <c r="L12" i="3"/>
  <c r="N10" i="3"/>
  <c r="L8" i="3" l="1"/>
  <c r="F56" i="3"/>
  <c r="J127" i="1"/>
  <c r="H15" i="3"/>
  <c r="H57" i="3" s="1"/>
  <c r="H56" i="3" s="1"/>
  <c r="N12" i="3"/>
  <c r="N8" i="3" l="1"/>
  <c r="L57" i="3"/>
  <c r="L56" i="3" s="1"/>
  <c r="J56" i="3"/>
  <c r="K56" i="3"/>
  <c r="I56" i="3"/>
  <c r="N56" i="3" s="1"/>
  <c r="M56" i="3"/>
  <c r="N57" i="3"/>
  <c r="N15" i="3"/>
</calcChain>
</file>

<file path=xl/sharedStrings.xml><?xml version="1.0" encoding="utf-8"?>
<sst xmlns="http://schemas.openxmlformats.org/spreadsheetml/2006/main" count="1296" uniqueCount="472">
  <si>
    <t>Item</t>
  </si>
  <si>
    <t>Código</t>
  </si>
  <si>
    <t>Banco</t>
  </si>
  <si>
    <t>Descrição</t>
  </si>
  <si>
    <t>Und</t>
  </si>
  <si>
    <t>Quant.</t>
  </si>
  <si>
    <t>Valor Unit</t>
  </si>
  <si>
    <t>Valor Unit com BDI</t>
  </si>
  <si>
    <t>Total</t>
  </si>
  <si>
    <t>MODIFICAÇÃO</t>
  </si>
  <si>
    <t>SERVIÇOS PRELIMINARES</t>
  </si>
  <si>
    <t xml:space="preserve"> 97644 </t>
  </si>
  <si>
    <t>SINAPI</t>
  </si>
  <si>
    <t>REMOÇÃO DE PORTAS, DE FORMA MANUAL, SEM REAPROVEITAMENTO. AF_12/2017</t>
  </si>
  <si>
    <t>m²</t>
  </si>
  <si>
    <t xml:space="preserve"> 97645 </t>
  </si>
  <si>
    <t>REMOÇÃO DE JANELAS, DE FORMA MANUAL, SEM REAPROVEITAMENTO. AF_12/2017</t>
  </si>
  <si>
    <t xml:space="preserve"> 97624 </t>
  </si>
  <si>
    <t>DEMOLIÇÃO DE ALVENARIA DE TIJOLO MACIÇO, DE FORMA MANUAL, SEM REAPROVEITAMENTO. AF_12/2017</t>
  </si>
  <si>
    <t>m³</t>
  </si>
  <si>
    <t>ESQUADRIAS METÁLICAS</t>
  </si>
  <si>
    <t xml:space="preserve"> 94559 </t>
  </si>
  <si>
    <t>JANELA DE AÇO TIPO BASCULANTE PARA VIDROS, COM BATENTE, FERRAGENS E PINTURA ANTICORROSIVA. EXCLUSIVE VIDROS, ACABAMENTO, ALIZAR E CONTRAMARCO. FORNECIMENTO E INSTALAÇÃO. AF_12/2019</t>
  </si>
  <si>
    <t>ESQUADRIAS DE MADEIRA</t>
  </si>
  <si>
    <t>UN</t>
  </si>
  <si>
    <t>AMPLIAÇÃO</t>
  </si>
  <si>
    <t xml:space="preserve"> 98524 </t>
  </si>
  <si>
    <t>LIMPEZA MANUAL DE VEGETAÇÃO EM TERRENO COM ENXADA.AF_05/2018</t>
  </si>
  <si>
    <t xml:space="preserve"> 99059 </t>
  </si>
  <si>
    <t>LOCACAO CONVENCIONAL DE OBRA, UTILIZANDO GABARITO DE TÁBUAS CORRIDAS PONTALETADAS A CADA 2,00M -  2 UTILIZAÇÕES. AF_10/2018</t>
  </si>
  <si>
    <t>M</t>
  </si>
  <si>
    <t>ESTACA A TRADO</t>
  </si>
  <si>
    <t xml:space="preserve"> 100896 </t>
  </si>
  <si>
    <t>ESTACA ESCAVADA MECANICAMENTE, SEM FLUIDO ESTABILIZANTE, COM 25CM DE DIÂMETRO, CONCRETO LANÇADO POR CAMINHÃO BETONEIRA (EXCLUSIVE MOBILIZAÇÃO E DESMOBILIZAÇÃO). AF_01/2020</t>
  </si>
  <si>
    <t xml:space="preserve"> 92791 </t>
  </si>
  <si>
    <t>CORTE E DOBRA DE AÇO CA-60, DIÂMETRO DE 5,0 MM, UTILIZADO EM ESTRUTURAS DIVERSAS, EXCETO LAJES. AF_12/2015</t>
  </si>
  <si>
    <t>KG</t>
  </si>
  <si>
    <t xml:space="preserve"> 92793 </t>
  </si>
  <si>
    <t>CORTE E DOBRA DE AÇO CA-50, DIÂMETRO DE 8,0 MM, UTILIZADO EM ESTRUTURAS DIVERSAS, EXCETO LAJES. AF_12/2015</t>
  </si>
  <si>
    <t xml:space="preserve"> 94963 </t>
  </si>
  <si>
    <t>CONCRETO FCK = 15MPA, TRAÇO 1:3,4:3,5 (CIMENTO/ AREIA MÉDIA/ BRITA 1)  - PREPARO MECÂNICO COM BETONEIRA 400 L. AF_07/2016</t>
  </si>
  <si>
    <t>BLOCOS</t>
  </si>
  <si>
    <t xml:space="preserve"> 93358 </t>
  </si>
  <si>
    <t>ESCAVAÇÃO MANUAL DE VALA COM PROFUNDIDADE MENOR OU IGUAL A 1,30 M. AF_03/2016</t>
  </si>
  <si>
    <t xml:space="preserve"> 94103 </t>
  </si>
  <si>
    <t>LASTRO DE VALA COM PREPARO DE FUNDO, LARGURA MENOR QUE 1,5 M, COM CAMADA DE BRITA, LANÇAMENTO MANUAL, EM LOCAL COM NÍVEL BAIXO DE INTERFERÊNCIA. AF_06/2016</t>
  </si>
  <si>
    <t xml:space="preserve"> 00001355 </t>
  </si>
  <si>
    <t>CHAPA DE MADEIRA COMPENSADA RESINADA PARA FORMA DE CONCRETO, DE *2,2 X 1,1* M, E = 14 MM</t>
  </si>
  <si>
    <t xml:space="preserve"> 94964 </t>
  </si>
  <si>
    <t>CONCRETO FCK = 20MPA, TRAÇO 1:2,7:3 (CIMENTO/ AREIA MÉDIA/ BRITA 1)  - PREPARO MECÂNICO COM BETONEIRA 400 L. AF_07/2016</t>
  </si>
  <si>
    <t xml:space="preserve"> 00002692 </t>
  </si>
  <si>
    <t>DESMOLDANTE PROTETOR PARA FORMAS DE MADEIRA, DE BASE OLEOSA EMULSIONADA EM AGUA</t>
  </si>
  <si>
    <t>L</t>
  </si>
  <si>
    <t>VIGAS BALDRAME</t>
  </si>
  <si>
    <t xml:space="preserve"> 92795 </t>
  </si>
  <si>
    <t>CORTE E DOBRA DE AÇO CA-50, DIÂMETRO DE 12,5 MM, UTILIZADO EM ESTRUTURAS DIVERSAS, EXCETO LAJES. AF_12/2015</t>
  </si>
  <si>
    <t>ALVENARIA</t>
  </si>
  <si>
    <t xml:space="preserve"> 87507 </t>
  </si>
  <si>
    <t>ALVENARIA DE VEDAÇÃO DE BLOCOS CERÂMICOS FURADOS NA HORIZONTAL DE 9X14X19CM (ESPESSURA 9CM) DE PAREDES COM ÁREA LÍQUIDA MAIOR OU IGUAL A 6M² SEM VÃOS E ARGAMASSA DE ASSENTAMENTO COM PREPARO EM BETONEIRA. AF_06/2014</t>
  </si>
  <si>
    <t>PILARES</t>
  </si>
  <si>
    <t xml:space="preserve"> 92794 </t>
  </si>
  <si>
    <t>CORTE E DOBRA DE AÇO CA-50, DIÂMETRO DE 10,0 MM, UTILIZADO EM ESTRUTURAS DIVERSAS, EXCETO LAJES. AF_12/2015</t>
  </si>
  <si>
    <t>VIGAS</t>
  </si>
  <si>
    <t>LAJE</t>
  </si>
  <si>
    <t xml:space="preserve"> 74202/001 </t>
  </si>
  <si>
    <t>LAJE PRE-MOLDADA P/FORRO, SOBRECARGA 100KG/M2, VAOS ATE 3,50M/E=8CM, C/LAJOTAS E CAP.C/CONC FCK=20MPA, 3CM, INTER-EIXO 38CM, C/ESCORAMENTO (REAPR.3X) E FERRAGEM NEGATIVA</t>
  </si>
  <si>
    <t>COBERTURA</t>
  </si>
  <si>
    <t xml:space="preserve"> 94445 </t>
  </si>
  <si>
    <t>TELHAMENTO COM TELHA CERÂMICA CAPA-CANAL, TIPO PLAN, COM ATÉ 2 ÁGUAS, INCLUSO TRANSPORTE VERTICAL. AF_07/2019</t>
  </si>
  <si>
    <t>REVESTIMENTO-ALVENARIA E TETO</t>
  </si>
  <si>
    <t xml:space="preserve"> 87894 </t>
  </si>
  <si>
    <t>CHAPISCO APLICADO EM ALVENARIA (SEM PRESENÇA DE VÃOS) E ESTRUTURAS DE CONCRETO DE FACHADA, COM COLHER DE PEDREIRO.  ARGAMASSA TRAÇO 1:3 COM PREPARO EM BETONEIRA 400L. AF_06/2014</t>
  </si>
  <si>
    <t xml:space="preserve"> 87549 </t>
  </si>
  <si>
    <t>EMBOÇO, PARA RECEBIMENTO DE CERÂMICA, EM ARGAMASSA TRAÇO 1:2:8, PREPARO MECÂNICO COM BETONEIRA 400L, APLICADO MANUALMENTE EM FACES INTERNAS DE PAREDES, PARA AMBIENTE COM ÁREA ENTRE 5M2 E 10M2, ESPESSURA DE 10MM, COM EXECUÇÃO DE TALISCAS. AF_06/2014</t>
  </si>
  <si>
    <t xml:space="preserve"> 87264 </t>
  </si>
  <si>
    <t>REVESTIMENTO CERÂMICO PARA PAREDES INTERNAS COM PLACAS TIPO ESMALTADA EXTRA DE DIMENSÕES 20X20 CM APLICADAS EM AMBIENTES DE ÁREA MENOR QUE 5 M² NA ALTURA INTEIRA DAS PAREDES. AF_06/2014</t>
  </si>
  <si>
    <t xml:space="preserve"> 87529 </t>
  </si>
  <si>
    <t>MASSA ÚNICA, PARA RECEBIMENTO DE PINTURA, EM ARGAMASSA TRAÇO 1:2:8, PREPARO MECÂNICO COM BETONEIRA 400L, APLICADA MANUALMENTE EM FACES INTERNAS DE PAREDES, ESPESSURA DE 20MM, COM EXECUÇÃO DE TALISCAS. AF_06/2014</t>
  </si>
  <si>
    <t>PISO</t>
  </si>
  <si>
    <t xml:space="preserve"> 87700 </t>
  </si>
  <si>
    <t>CONTRAPISO EM ARGAMASSA TRAÇO 1:4 (CIMENTO E AREIA), PREPARO MECÂNICO COM BETONEIRA 400 L, APLICADO EM ÁREAS SECAS SOBRE LAJE, NÃO ADERIDO, ESPESSURA 6CM. AF_06/2014</t>
  </si>
  <si>
    <t xml:space="preserve"> 00001297 </t>
  </si>
  <si>
    <t>PISO EM CERAMICA ESMALTADA, COMERCIAL (PADRAO POPULAR), PEI MAIOR OU IGUAL A 3, FORMATO MENOR OU IGUAL A  2025 CM2</t>
  </si>
  <si>
    <t xml:space="preserve"> 94560 </t>
  </si>
  <si>
    <t>JANELA DE AÇO DE CORRER COM 2 FOLHAS PARA VIDRO, COM VIDROS, BATENTE, FERRAGENS E PINTURAS ANTICORROSIVA E DE ACABAMENTO. EXCLUSIVE ALIZAR E CONTRAMARCO. FORNECIMENTO E INSTALAÇÃO. AF_12/2019</t>
  </si>
  <si>
    <t>DIIVISORIAS</t>
  </si>
  <si>
    <t xml:space="preserve"> MATED- 12413 </t>
  </si>
  <si>
    <t>SETOP</t>
  </si>
  <si>
    <t>DIVISÓRIA EM ARDÓSIA ( COR: NATURAL/ ESPESSURA: 3CM)</t>
  </si>
  <si>
    <t>PINTURA - ALVENARIAS, TETO E ESQUADRIAS</t>
  </si>
  <si>
    <t xml:space="preserve"> 88487 </t>
  </si>
  <si>
    <t>APLICAÇÃO MANUAL DE PINTURA COM TINTA LÁTEX PVA EM PAREDES, DUAS DEMÃOS. AF_06/2014</t>
  </si>
  <si>
    <t xml:space="preserve"> 73924/002 </t>
  </si>
  <si>
    <t>PINTURA ESMALTE ACETINADO, DUAS DEMAOS, SOBRE SUPERFICIE METALICA</t>
  </si>
  <si>
    <t xml:space="preserve"> 73739/001 </t>
  </si>
  <si>
    <t>PINTURA ESMALTE ACETINADO EM MADEIRA, DUAS DEMAOS</t>
  </si>
  <si>
    <t>LIMPEZA GERAL</t>
  </si>
  <si>
    <t xml:space="preserve"> 99814 </t>
  </si>
  <si>
    <t>LIMPEZA DE SUPERFÍCIE COM JATO DE ALTA PRESSÃO. AF_04/2019</t>
  </si>
  <si>
    <t xml:space="preserve"> 90880 </t>
  </si>
  <si>
    <t>ESTACA ESCAVADA MECANICAMENTE, SEM FLUIDO ESTABILIZANTE, COM 25 CM DE DIÂMETRO, ATÉ 9 M DE COMPRIMENTO, CONCRETO LANÇADO MANUALMENTE (EXCLUSIVE MOBILIZAÇÃO E DESMOBILIZAÇÃO). AF_02/2015</t>
  </si>
  <si>
    <t>HIDROSANITARIO</t>
  </si>
  <si>
    <t xml:space="preserve"> INST-ESG-015 </t>
  </si>
  <si>
    <t>PONTO DE ESGOTO, INCLUINDO TUBO DE PVC RÍGIDO SOLDÁVEL DE 100 MM E CONEXÕES (VASO SANITÁRIO)</t>
  </si>
  <si>
    <t>U</t>
  </si>
  <si>
    <t xml:space="preserve"> 95470 </t>
  </si>
  <si>
    <t>VASO SANITARIO SIFONADO CONVENCIONAL COM LOUÇA BRANCA, INCLUSO CONJUNTO DE LIGAÇÃO PARA BACIA SANITÁRIA AJUSTÁVEL - FORNECIMENTO E INSTALAÇÃO. AF_10/2016</t>
  </si>
  <si>
    <t xml:space="preserve"> 89957 </t>
  </si>
  <si>
    <t>PONTO DE CONSUMO TERMINAL DE ÁGUA FRIA (SUBRAMAL) COM TUBULAÇÃO DE PVC, DN 25 MM, INSTALADO EM RAMAL DE ÁGUA, INCLUSOS RASGO E CHUMBAMENTO EM ALVENARIA. AF_12/2014</t>
  </si>
  <si>
    <t xml:space="preserve"> 89709 </t>
  </si>
  <si>
    <t>RALO SIFONADO, PVC, DN 100 X 40 MM, JUNTA SOLDÁVEL, FORNECIDO E INSTALADO EM RAMAL DE DESCARGA OU EM RAMAL DE ESGOTO SANITÁRIO. AF_12/2014</t>
  </si>
  <si>
    <t xml:space="preserve"> INST-ESG-005 </t>
  </si>
  <si>
    <t>PONTO DE ESGOTO, INCLUINDO TUBO DE PVC RÍGIDO SOLDÁVEL DE 40 MM E CONEXÕES (LAVATÓRIOS, MICTÓRIOS, RALOS SIFONADOS, ETC.)</t>
  </si>
  <si>
    <t xml:space="preserve"> LOU-LAV-015 </t>
  </si>
  <si>
    <t>LAVATÓRIO DE LOUÇA BRANCA SEM COLUNA, TAMANHO MÉDIO, INCLUSIVE ACESSÓRIOS DE FIXAÇÃO, VÁLVULA DE ESCOAMENTO DE METAL COM ACABAMENTO CROMADO, SIFÃO DE METAL TIPO COPO COM ACABAMENTO CROMADO, FORNECIMENTO, INSTALAÇÃO E REJUNTAMENTO, EXCLUSIVE TORNEIRA E ENGATE FLEXÍVEL</t>
  </si>
  <si>
    <t xml:space="preserve"> MET-TOR-035 </t>
  </si>
  <si>
    <t>TORNEIRA METÁLICA PARA LAVATÓRIO, ACABAMENTO CROMADO, COM AREJADOR, APLICAÇÃO DE MESA, INCLUSIVE ENGATE FLEXÍVEL METÁLICO, FORNECIMENTO E INSTALAÇÃO</t>
  </si>
  <si>
    <t xml:space="preserve"> INST-ESG-010 </t>
  </si>
  <si>
    <t>PONTO DE ESGOTO, INCLUINDO TUBO DE PVC RÍGIDO SOLDÁVEL DE 50 MM E CONEXÕES (PIAS DE COZINHA, MÁQUINAS DE LAVAR, ETC.)</t>
  </si>
  <si>
    <t xml:space="preserve"> LOU-CUB-005 </t>
  </si>
  <si>
    <t>CUBA DE LOUÇA BRANCA DE EMBUTIR, FORMATO OVAL, INCLUSIVE VÁLVULA DE ESCOAMENTO DE METAL COM ACABAMENTO CROMADO, SIFÃO DE METAL TIPO COPO COM ACABAMENTO CROMADO, FORNECIMENTO E INSTALAÇÃO</t>
  </si>
  <si>
    <t xml:space="preserve"> 86911 </t>
  </si>
  <si>
    <t>TORNEIRA CROMADA LONGA, DE PAREDE, 1/2 OU 3/4, PARA PIA DE COZINHA, PADRÃO POPULAR - FORNECIMENTO E INSTALAÇÃO. AF_01/2020</t>
  </si>
  <si>
    <t xml:space="preserve"> 86935 </t>
  </si>
  <si>
    <t>CUBA DE EMBUTIR DE AÇO INOXIDÁVEL MÉDIA, INCLUSO VÁLVULA TIPO AMERICANA EM METAL CROMADO E SIFÃO FLEXÍVEL EM PVC - FORNECIMENTO E INSTALAÇÃO. AF_01/2020</t>
  </si>
  <si>
    <t xml:space="preserve"> 86906 </t>
  </si>
  <si>
    <t>TORNEIRA CROMADA DE MESA, 1/2 OU 3/4, PARA LAVATÓRIO, PADRÃO POPULAR - FORNECIMENTO E INSTALAÇÃO. AF_01/2020</t>
  </si>
  <si>
    <t xml:space="preserve"> 86930 </t>
  </si>
  <si>
    <t>TANQUE DE MÁRMORE SINTÉTICO SUSPENSO, 22L OU EQUIVALENTE, INCLUSO SIFÃO FLEXÍVEL EM PVC, VÁLVULA PLÁSTICA E TORNEIRA DE PLÁSTICO - FORNECIMENTO E INSTALAÇÃO. AF_01/2020</t>
  </si>
  <si>
    <t>PLANILHA ORÇAMENTÁRIA</t>
  </si>
  <si>
    <t xml:space="preserve"> ABE-FOS-005 </t>
  </si>
  <si>
    <t>FOSSA SÉPTICA PARA 1500 L/DIA, DE CONCRETO, INSTALADA (15 PESSOAS), INCLUSIVE BOTA FORA DE MATERIAL ESCAVADO</t>
  </si>
  <si>
    <t xml:space="preserve"> 98102 </t>
  </si>
  <si>
    <t>CAIXA DE GORDURA SIMPLES, CIRCULAR, EM CONCRETO PRÉ-MOLDADO, DIÂMETRO INTERNO = 0,4 M, ALTURA INTERNA = 0,4 M. AF_05/2018</t>
  </si>
  <si>
    <t xml:space="preserve"> 74166/001 </t>
  </si>
  <si>
    <t>CAIXA DE INSPEÇÃO EM CONCRETO PRÉ-MOLDADO DN 60CM COM TAMPA H= 60CM - FORNECIMENTO E INSTALACAO</t>
  </si>
  <si>
    <t>SISTEMA DE PROTEÇÃO CONTRA INCÊNDIO</t>
  </si>
  <si>
    <t xml:space="preserve"> 00038774 </t>
  </si>
  <si>
    <t>LUMINARIA DE EMERGENCIA 30 LEDS, POTENCIA 2 W, BATERIA DE LITIO, AUTONOMIA DE 6 HORAS</t>
  </si>
  <si>
    <t xml:space="preserve"> MATED- 12919 </t>
  </si>
  <si>
    <t>PLACA FOTOLUMINESCENTE "S1" OU "S2"- 380 X 190 MM ( SAÍDA - DIREITA)</t>
  </si>
  <si>
    <t xml:space="preserve"> MATED- 12924 </t>
  </si>
  <si>
    <t>PLACA FOTOLUMINESCENTE "A2" - TRIÂNGULO 300 MM ( RISCO INCÊNDIO)</t>
  </si>
  <si>
    <t xml:space="preserve"> 00010888 </t>
  </si>
  <si>
    <t>EXTINTOR DE INCENDIO PORTATIL COM CARGA DE GAS CARBONICO CO2 DE 4 KG, CLASSE BC</t>
  </si>
  <si>
    <t xml:space="preserve"> 00010891 </t>
  </si>
  <si>
    <t>EXTINTOR DE INCENDIO PORTATIL COM CARGA DE PO QUIMICO SECO (PQS) DE 4 KG, CLASSE BC</t>
  </si>
  <si>
    <t>INSTALAÇÕES ELÉTRICA</t>
  </si>
  <si>
    <t xml:space="preserve"> 93147 </t>
  </si>
  <si>
    <t>PONTO DE ILUMINAÇÃO E TOMADA, RESIDENCIAL, INCLUINDO INTERRUPTOR SIMPLES, INTERRUPTOR PARALELO E TOMADA 10A/250V, CAIXA ELÉTRICA, ELETRODUTO, CABO, RASGO, QUEBRA E CHUMBAMENTO (EXCLUINDO LUMINÁRIA E LÂMPADA). AF_01/2016</t>
  </si>
  <si>
    <t xml:space="preserve"> INST-STVAL-005 </t>
  </si>
  <si>
    <t>PONTO SECO PARA INSTALAÇÃO DE SOM, TV, ALARME E LÓGICA, INCLUINDO ELETRODUTO DE PVC RÍGIDO E CAIXA COM ESPELHO</t>
  </si>
  <si>
    <t xml:space="preserve"> 98307 </t>
  </si>
  <si>
    <t>TOMADA DE REDE RJ45 - FORNECIMENTO E INSTALAÇÃO. AF_11/2019</t>
  </si>
  <si>
    <t xml:space="preserve"> 97610 </t>
  </si>
  <si>
    <t>LÂMPADA COMPACTA DE LED 10 W, BASE E27 - FORNECIMENTO E INSTALAÇÃO. AF_02/2020</t>
  </si>
  <si>
    <t xml:space="preserve"> ED-9955 </t>
  </si>
  <si>
    <t>LUMINÁRIA ARANDELA TIPO MEIA-LUA COMPLETA, DIÂMETRO 25 CM, PARA UMA (1) LÂMPADA LED, POTÊNCIA 9W, BULBO A60, FORNECIMENTO E INSTALAÇÃO, INCLUSIVE BASE E LÂMPADA</t>
  </si>
  <si>
    <t xml:space="preserve"> ELE-LAM-050 </t>
  </si>
  <si>
    <t>LÂMPADA TUBULAR FLUORESCENTE, BASE G13, POTÊNCIA 32W, FORNECIMENTO E INSTALAÇÃO, EXCLUSIVE REATOR E LUMINÁRIA</t>
  </si>
  <si>
    <t xml:space="preserve"> ELE-LAM-030 </t>
  </si>
  <si>
    <t>LÂMPADA COMPACTADA ELETRÔNICA FLUORESCENTE, BASE E27, POTÊNCIA 15W, TENSÃO 110-127V, FORNECIMENTO E INSTALAÇÃO, EXCLUSIVE LUMINÁRIA</t>
  </si>
  <si>
    <t xml:space="preserve"> 74131/005 </t>
  </si>
  <si>
    <t>QUADRO DE DISTRIBUICAO DE ENERGIA DE EMBUTIR, EM CHAPA METALICA, PARA 24 DISJUNTORES TERMOMAGNETICOS MONOPOLARES, COM BARRAMENTO TRIFASICO E NEUTRO, FORNECIMENTO E INSTALACAO</t>
  </si>
  <si>
    <t xml:space="preserve"> 93653 </t>
  </si>
  <si>
    <t>DISJUNTOR MONOPOLAR TIPO DIN, CORRENTE NOMINAL DE 10A - FORNECIMENTO E INSTALAÇÃO. AF_04/2016</t>
  </si>
  <si>
    <t xml:space="preserve"> 93654 </t>
  </si>
  <si>
    <t>DISJUNTOR MONOPOLAR TIPO DIN, CORRENTE NOMINAL DE 16A - FORNECIMENTO E INSTALAÇÃO. AF_04/2016</t>
  </si>
  <si>
    <t xml:space="preserve"> 93655 </t>
  </si>
  <si>
    <t>DISJUNTOR MONOPOLAR TIPO DIN, CORRENTE NOMINAL DE 20A - FORNECIMENTO E INSTALAÇÃO. AF_04/2016</t>
  </si>
  <si>
    <t xml:space="preserve"> 74130/005 </t>
  </si>
  <si>
    <t>DISJUNTOR TERMOMAGNETICO TRIPOLAR PADRAO NEMA (AMERICANO) 60 A 100A 240V, FORNECIMENTO E INSTALACAO</t>
  </si>
  <si>
    <t xml:space="preserve"> MUR-BLO-005 </t>
  </si>
  <si>
    <t>MURO DIVISÓRIO BLOCO DE CONCRETO APARENTE E = 15 CM, H = 1,80 M, INCLUSIVE SAPATA DE CONCRETO ARMADO FCK = 15 MPA, 50 X 55 CM</t>
  </si>
  <si>
    <t>ELE-PAD-015</t>
  </si>
  <si>
    <t>PADRÃO CEMIG AÉREO TIPO D3, 23, 1 &lt;= DEMANDA &lt;= 27 KVA, TRIFASICO</t>
  </si>
  <si>
    <t>COMPOSIÇÃO DO BDI (BONIFICAÇÕES E DESPESAS INDIRETAS)</t>
  </si>
  <si>
    <t>Conforme legislação tributária, definir estimativa de percentual da base de cálculo para o ISS:</t>
  </si>
  <si>
    <t>Sobre a base de cálculo, definir a  respectiva alíquota do ISS (entre 2% e 5%):</t>
  </si>
  <si>
    <t>ITENS</t>
  </si>
  <si>
    <t>SIGLAS</t>
  </si>
  <si>
    <t>%
ADOTADO</t>
  </si>
  <si>
    <t>SITUAÇÃO</t>
  </si>
  <si>
    <t>1º QUARTIL</t>
  </si>
  <si>
    <t>MÉDIO</t>
  </si>
  <si>
    <t>3º QUARTIL</t>
  </si>
  <si>
    <t>Administração Central</t>
  </si>
  <si>
    <t>AC</t>
  </si>
  <si>
    <t>-</t>
  </si>
  <si>
    <t>Seguro e Garantia</t>
  </si>
  <si>
    <t>SG</t>
  </si>
  <si>
    <t>Risco</t>
  </si>
  <si>
    <t>R</t>
  </si>
  <si>
    <t>Despesas Financeiras</t>
  </si>
  <si>
    <t>DF</t>
  </si>
  <si>
    <t>Lucro</t>
  </si>
  <si>
    <t>Tributos (Impostos COFINS 3%, e PIS 0,65 %)</t>
  </si>
  <si>
    <t>CP</t>
  </si>
  <si>
    <t>Trbutos (ISS, variável de acordo com Município)</t>
  </si>
  <si>
    <t>ISS</t>
  </si>
  <si>
    <t>Tributos (Contribuição Previdenciária sobre a Receita Bruta - 0% ou  4,5% - Desoneração)</t>
  </si>
  <si>
    <t>CPRB</t>
  </si>
  <si>
    <t>OK</t>
  </si>
  <si>
    <t>BDI SEM Desoneração</t>
  </si>
  <si>
    <t xml:space="preserve">BDI PAD </t>
  </si>
  <si>
    <t>BDI COM Desoneração</t>
  </si>
  <si>
    <t>BDI DES</t>
  </si>
  <si>
    <t>Os valores de BDI foram calculados com o emprego da fórmula:
BDI.DES =      (1 + AC + S + R + G) * (1 + DF) * (1+ L)
                       ___________________________________
                      (1 - CP - ISS - CPRB)</t>
  </si>
  <si>
    <t>Declaro para os devidos fins que, conforme legislação tributária municipal, a base de Cálculo para Construção Civil é de 100%, com a respectiva alíquota de 
3%.</t>
  </si>
  <si>
    <t>Declaro para os devidos fins que o regime de Contribuição Previdenciária sobre a Receita Bruta adotado para elaboração do orçamento foi COM desoneração, e que esta é a alternativa mais adequada para a Administração Pública.</t>
  </si>
  <si>
    <t>CRONOGRAMA FÍSICO-FINANCEIRO</t>
  </si>
  <si>
    <t>Descrição de Metas</t>
  </si>
  <si>
    <t>Valores 
Totais (R$)</t>
  </si>
  <si>
    <t xml:space="preserve">Início da Obra
</t>
  </si>
  <si>
    <t xml:space="preserve">Mês 1
</t>
  </si>
  <si>
    <t xml:space="preserve">Mês 2
</t>
  </si>
  <si>
    <t xml:space="preserve">Mês 3
</t>
  </si>
  <si>
    <t xml:space="preserve">Mês 4
</t>
  </si>
  <si>
    <t xml:space="preserve">Mês 5
</t>
  </si>
  <si>
    <t xml:space="preserve">Total </t>
  </si>
  <si>
    <t>Fisico %</t>
  </si>
  <si>
    <t xml:space="preserve">Financeiro </t>
  </si>
  <si>
    <t>TOTAL</t>
  </si>
  <si>
    <t>TOTAL GERAL                   R$</t>
  </si>
  <si>
    <t>Endereço: Rua A, S/Nº - Comunidade Rural de São Bento - Carmo do Paranaiba-MG</t>
  </si>
  <si>
    <t>4.2.1</t>
  </si>
  <si>
    <t>4.2.2</t>
  </si>
  <si>
    <t>4.2.3</t>
  </si>
  <si>
    <t>4.2.4</t>
  </si>
  <si>
    <t>4.3.1</t>
  </si>
  <si>
    <t>4.3.2</t>
  </si>
  <si>
    <t>4.3.3</t>
  </si>
  <si>
    <t>4.4.1</t>
  </si>
  <si>
    <t>4.4.2</t>
  </si>
  <si>
    <t>4.4.3</t>
  </si>
  <si>
    <t>4.4.4</t>
  </si>
  <si>
    <t>4.4.5</t>
  </si>
  <si>
    <t>4.4.6</t>
  </si>
  <si>
    <t>4.4.7</t>
  </si>
  <si>
    <t>4.5.1</t>
  </si>
  <si>
    <t>4.6.1</t>
  </si>
  <si>
    <t>4.6.2</t>
  </si>
  <si>
    <t>4.6.3</t>
  </si>
  <si>
    <t>4.6.4</t>
  </si>
  <si>
    <t>4.6.5</t>
  </si>
  <si>
    <t>4.7.1</t>
  </si>
  <si>
    <t>4.7.2</t>
  </si>
  <si>
    <t>4.7.3</t>
  </si>
  <si>
    <t>4.7.4</t>
  </si>
  <si>
    <t>4.7.5</t>
  </si>
  <si>
    <t>4.8.1</t>
  </si>
  <si>
    <t>Referência: SINAPI: Janeiro/2020  -   SETOP: Abril/2019</t>
  </si>
  <si>
    <t>BDI: 27%</t>
  </si>
  <si>
    <r>
      <rPr>
        <b/>
        <sz val="12"/>
        <color theme="1"/>
        <rFont val="Arial"/>
        <family val="2"/>
      </rPr>
      <t>Obra:</t>
    </r>
    <r>
      <rPr>
        <sz val="12"/>
        <color theme="1"/>
        <rFont val="Arial"/>
        <family val="2"/>
      </rPr>
      <t xml:space="preserve"> Escola Municipal Antônio Rodrigues Carolino</t>
    </r>
  </si>
  <si>
    <r>
      <t xml:space="preserve">Endereço: </t>
    </r>
    <r>
      <rPr>
        <sz val="12"/>
        <color theme="1"/>
        <rFont val="Arial"/>
        <family val="2"/>
      </rPr>
      <t>Rua A, sem número, Comunidade Rural de São Bento - Carmo do Paranaíba</t>
    </r>
  </si>
  <si>
    <t>1.1</t>
  </si>
  <si>
    <t>1.2</t>
  </si>
  <si>
    <t>1.3</t>
  </si>
  <si>
    <t>2.1</t>
  </si>
  <si>
    <t>3.1</t>
  </si>
  <si>
    <t>4.1</t>
  </si>
  <si>
    <t>4.2</t>
  </si>
  <si>
    <t>4.1.1</t>
  </si>
  <si>
    <t>4.3</t>
  </si>
  <si>
    <t>4.4</t>
  </si>
  <si>
    <t>4.5</t>
  </si>
  <si>
    <t>4.6</t>
  </si>
  <si>
    <t>4.7</t>
  </si>
  <si>
    <t>4.8</t>
  </si>
  <si>
    <t>6.1</t>
  </si>
  <si>
    <t>6.2</t>
  </si>
  <si>
    <t>7.1</t>
  </si>
  <si>
    <t>7.2</t>
  </si>
  <si>
    <t>8.1</t>
  </si>
  <si>
    <t>9.1</t>
  </si>
  <si>
    <t>10.1</t>
  </si>
  <si>
    <t>11.1</t>
  </si>
  <si>
    <t>12.1</t>
  </si>
  <si>
    <t>13.1</t>
  </si>
  <si>
    <t>14.1</t>
  </si>
  <si>
    <t>14.2</t>
  </si>
  <si>
    <t>15.1</t>
  </si>
  <si>
    <t>15.2</t>
  </si>
  <si>
    <t>15.3</t>
  </si>
  <si>
    <t>15.4</t>
  </si>
  <si>
    <t>15.5</t>
  </si>
  <si>
    <t>16.1</t>
  </si>
  <si>
    <t>16.2</t>
  </si>
  <si>
    <t>16.3</t>
  </si>
  <si>
    <t>16.4</t>
  </si>
  <si>
    <t>16.5</t>
  </si>
  <si>
    <r>
      <rPr>
        <b/>
        <sz val="8"/>
        <color theme="1"/>
        <rFont val="Times"/>
        <family val="1"/>
      </rPr>
      <t>OBRA:</t>
    </r>
    <r>
      <rPr>
        <sz val="8"/>
        <color theme="1"/>
        <rFont val="Times"/>
        <family val="1"/>
      </rPr>
      <t xml:space="preserve"> Reforma com Modificação e Ampliação Escola Municipa Antonio Rodrigues Carolino - Comunidade Rural de São Bento - Carmo do Paranaiba-MG
</t>
    </r>
  </si>
  <si>
    <r>
      <t xml:space="preserve">REFERÊNCIA: </t>
    </r>
    <r>
      <rPr>
        <sz val="8"/>
        <color theme="1"/>
        <rFont val="Times"/>
        <family val="1"/>
      </rPr>
      <t>Janeiro</t>
    </r>
    <r>
      <rPr>
        <b/>
        <sz val="8"/>
        <color theme="1"/>
        <rFont val="Times"/>
        <family val="1"/>
      </rPr>
      <t xml:space="preserve"> - </t>
    </r>
    <r>
      <rPr>
        <sz val="8"/>
        <color theme="1"/>
        <rFont val="Times"/>
        <family val="1"/>
      </rPr>
      <t>2020</t>
    </r>
  </si>
  <si>
    <r>
      <rPr>
        <b/>
        <sz val="8"/>
        <color theme="1"/>
        <rFont val="Times"/>
        <family val="1"/>
      </rPr>
      <t xml:space="preserve">LOCAL: </t>
    </r>
    <r>
      <rPr>
        <sz val="8"/>
        <color theme="1"/>
        <rFont val="Times"/>
        <family val="1"/>
      </rPr>
      <t xml:space="preserve">Rua A, S/Nº - Comunidade Rural de São Bento - Carmo do Paranaiba-MG
</t>
    </r>
  </si>
  <si>
    <r>
      <t xml:space="preserve">DESONERAÇÃO: </t>
    </r>
    <r>
      <rPr>
        <sz val="8"/>
        <color theme="1"/>
        <rFont val="Times"/>
        <family val="1"/>
      </rPr>
      <t>Sim</t>
    </r>
  </si>
  <si>
    <r>
      <rPr>
        <b/>
        <sz val="8"/>
        <color theme="1"/>
        <rFont val="Times"/>
        <family val="1"/>
      </rPr>
      <t>Local</t>
    </r>
    <r>
      <rPr>
        <sz val="8"/>
        <color theme="1"/>
        <rFont val="Times"/>
        <family val="1"/>
      </rPr>
      <t xml:space="preserve">
Carmo do Paranaíba - MG</t>
    </r>
  </si>
  <si>
    <r>
      <rPr>
        <b/>
        <sz val="8"/>
        <color theme="1"/>
        <rFont val="Times"/>
        <family val="1"/>
      </rPr>
      <t>Data</t>
    </r>
    <r>
      <rPr>
        <sz val="8"/>
        <color theme="1"/>
        <rFont val="Times"/>
        <family val="1"/>
      </rPr>
      <t xml:space="preserve">
15 de junho de 2020.</t>
    </r>
  </si>
  <si>
    <t xml:space="preserve">                                                                                            ________________________________
Responsável Técnico 
Nome: Fernando Ferreira Rocha
 Cargo: Engenheiro Civil
CREA: 77.437/D-MG</t>
  </si>
  <si>
    <t xml:space="preserve">           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Responsável Tomador 
Nome: César Caetano de Almeida Filho
Cargo: Prefeito Municipal</t>
  </si>
  <si>
    <t xml:space="preserve">ALVENARIA </t>
  </si>
  <si>
    <t>LAJES</t>
  </si>
  <si>
    <t>COBERTURAS</t>
  </si>
  <si>
    <t xml:space="preserve">REVESTIMENTO - ALVENARIA E TETOS </t>
  </si>
  <si>
    <t xml:space="preserve">ESQUADRIAS DE MADEIRAS </t>
  </si>
  <si>
    <t xml:space="preserve">DIVISÓRIAS </t>
  </si>
  <si>
    <t xml:space="preserve">PINTURA - ALVENARIAS, TETOS E ESQUADRIAS </t>
  </si>
  <si>
    <t>LIMPEZA EM GERAL</t>
  </si>
  <si>
    <t xml:space="preserve">MURO DE CERCAMENTO DO LOTE </t>
  </si>
  <si>
    <t>MURO DE CERCAMENTO DO LOTE</t>
  </si>
  <si>
    <t xml:space="preserve">SISTEMA DE PROTEÇÃO CONTRA INCÊNDIO </t>
  </si>
  <si>
    <t xml:space="preserve">INSTALAÇÃO ELÉTRICA </t>
  </si>
  <si>
    <t xml:space="preserve">INSTALAÇÃO HIDROSANITÁRIO </t>
  </si>
  <si>
    <t xml:space="preserve">Mês 6
</t>
  </si>
  <si>
    <t>MEMÓRIA DE CALCULO</t>
  </si>
  <si>
    <t>Local</t>
  </si>
  <si>
    <t xml:space="preserve">Resultado </t>
  </si>
  <si>
    <t>Cálculo</t>
  </si>
  <si>
    <t>39 m x 3.20 altura</t>
  </si>
  <si>
    <t>Patio e salas aulas novas</t>
  </si>
  <si>
    <t>1.80x1.00-4x e 1.00x1.00-4x</t>
  </si>
  <si>
    <t>0.80x2.10 - 4x</t>
  </si>
  <si>
    <t>diametro 250 mm pronfuidade 3 m</t>
  </si>
  <si>
    <t>estribos 30x</t>
  </si>
  <si>
    <t xml:space="preserve">30x </t>
  </si>
  <si>
    <t>diametro 250 mm pronfuidade 3 m - 30x</t>
  </si>
  <si>
    <t>0.55*0.55*0.55   30x</t>
  </si>
  <si>
    <t>0.30x2x3.20x30</t>
  </si>
  <si>
    <t>interno 1267.56 m2 externo 402.02 m2 tetos 233.03 m2</t>
  </si>
  <si>
    <t>todos ambientes</t>
  </si>
  <si>
    <t>150x100 - 10x    100x100-4x  70x50-2x 150x50-1x</t>
  </si>
  <si>
    <t>(1.22x2+1.49+1.62)</t>
  </si>
  <si>
    <t>portoes e janelas metalicas 19x5+1.65*2*5</t>
  </si>
  <si>
    <t>80x210*18  60x210-4x</t>
  </si>
  <si>
    <t>104.37 m</t>
  </si>
  <si>
    <t>Adm. Obras</t>
  </si>
  <si>
    <t>Sala aulas antigas (frente)</t>
  </si>
  <si>
    <t>Área total lote</t>
  </si>
  <si>
    <t>Área obra</t>
  </si>
  <si>
    <t>Escavação estacas para pilares</t>
  </si>
  <si>
    <t>Armação Estacas</t>
  </si>
  <si>
    <t>Concreto p/ Estacas</t>
  </si>
  <si>
    <t>Armação Blcoos fundação</t>
  </si>
  <si>
    <t>Concreto Blocos Fundação</t>
  </si>
  <si>
    <t>Escavação Blocos para fundação pilares</t>
  </si>
  <si>
    <t>Escavaçao p/ vigas baldrames</t>
  </si>
  <si>
    <t>Lastro p/ vigas baldrames</t>
  </si>
  <si>
    <t>Armaçao p/ vigas baldrames</t>
  </si>
  <si>
    <t>Concreto p/ vigas baldrames</t>
  </si>
  <si>
    <t>Formas madeira p/ vigas baldrames</t>
  </si>
  <si>
    <t>Alvenaria de paredes</t>
  </si>
  <si>
    <t>Pilares</t>
  </si>
  <si>
    <t>Vigas</t>
  </si>
  <si>
    <t>Formas de madeira p/ pilares</t>
  </si>
  <si>
    <t>Armação p/ pilares</t>
  </si>
  <si>
    <t>Concreto p/ pilares</t>
  </si>
  <si>
    <t>Desmoldante p/ pilares</t>
  </si>
  <si>
    <t>Formas de madeira p/ vigas cobertura</t>
  </si>
  <si>
    <t>Armação p/ vigas cobertura</t>
  </si>
  <si>
    <t>Concreto p/ vigas cobertura</t>
  </si>
  <si>
    <t>Desmoldante p/ vigas cobertura</t>
  </si>
  <si>
    <t>Laje pré-moldada treliçada de forro</t>
  </si>
  <si>
    <t>Engradamento de madeira</t>
  </si>
  <si>
    <t>Telha Ceramica tipo Plan</t>
  </si>
  <si>
    <t>Chapisco em alvenarias e teto</t>
  </si>
  <si>
    <t>Emboço p/ recbimento de azulejo</t>
  </si>
  <si>
    <t>Contrapiso em todos ambientes</t>
  </si>
  <si>
    <t>Revstimento em Piso em todos ambientes</t>
  </si>
  <si>
    <t>Janelas de correr</t>
  </si>
  <si>
    <t>Portas madeira</t>
  </si>
  <si>
    <t>Divisoria em ardosia</t>
  </si>
  <si>
    <t>Pintura em alvenarias e tetos</t>
  </si>
  <si>
    <t>Pinturas janelas, portas e porteos emetalicos</t>
  </si>
  <si>
    <t>Pintura portas de madeira</t>
  </si>
  <si>
    <t>Area total do projeto</t>
  </si>
  <si>
    <t>Muro divisorio com fundação, vigas e pilares armados</t>
  </si>
  <si>
    <t>Escavação estacas para muro divisorio</t>
  </si>
  <si>
    <t>Escola</t>
  </si>
  <si>
    <t xml:space="preserve">3x ferro 6.3 mm  L = 1.96 m + 3x ferro 6.3 mm  L = 1.94 m + 3x ferro 6.3 mm  L = 1.93 m </t>
  </si>
  <si>
    <t>0.55x 0.055x0.55 x 30</t>
  </si>
  <si>
    <t>88.55+369.34</t>
  </si>
  <si>
    <t>Perimetro internvo azueljo 59.05 x altura 3.20</t>
  </si>
  <si>
    <t>243.54 m</t>
  </si>
  <si>
    <t>ferro 5</t>
  </si>
  <si>
    <t>ferro 8</t>
  </si>
  <si>
    <t>m</t>
  </si>
  <si>
    <t>Kg</t>
  </si>
  <si>
    <t>263.86 Kg</t>
  </si>
  <si>
    <t>Telhado 15.52 m2 + 68.29*3.2+101.11*3.2</t>
  </si>
  <si>
    <t>5 mm</t>
  </si>
  <si>
    <t>10 mm</t>
  </si>
  <si>
    <t>46 executar  30</t>
  </si>
  <si>
    <t xml:space="preserve">30 pilares 4 ferros 10 mm h = 3.65 </t>
  </si>
  <si>
    <t>30 pilares ferro 5 mm L = 72 cm 27 estribos</t>
  </si>
  <si>
    <t>15x35 x H 3.20 x 30 pilares</t>
  </si>
  <si>
    <t xml:space="preserve">L = 243.54 m = cada 12 cm = 2030 Estribos L = 88 cm </t>
  </si>
  <si>
    <t>L = 243.54 m x4 = 974.16 m</t>
  </si>
  <si>
    <t>243.4 x .15 x 0.35</t>
  </si>
  <si>
    <t>243.54x0.20x0.30</t>
  </si>
  <si>
    <t>243.54x0.20x0.05</t>
  </si>
  <si>
    <t>243.54x0.25x2</t>
  </si>
  <si>
    <t>Comprimento</t>
  </si>
  <si>
    <t xml:space="preserve"> ________________________________
Responsável Técnico 
Nome: Fernando Ferreira Rocha
 Cargo: Engenheiro Civil
CREA: 77.437/D-MG</t>
  </si>
  <si>
    <t xml:space="preserve">     ________________________________
Responsável Técnico 
Nome: Fernando Ferreira Rocha
 Cargo: Engenheiro Civil
CREA: 77.437/D-MG</t>
  </si>
  <si>
    <r>
      <rPr>
        <b/>
        <sz val="10"/>
        <color theme="1"/>
        <rFont val="Times"/>
        <family val="1"/>
      </rPr>
      <t>Obra:</t>
    </r>
    <r>
      <rPr>
        <sz val="10"/>
        <color theme="1"/>
        <rFont val="Times"/>
        <family val="1"/>
      </rPr>
      <t xml:space="preserve"> Reforma com Modificação e Ampliação Escola Municipal Antônio Rodrigues Carolino - Comunidade Rural de São Bento - Carmo do Paranaiba-MG</t>
    </r>
  </si>
  <si>
    <t xml:space="preserve"> </t>
  </si>
  <si>
    <t>BANCADA DE MÁRMORE BRANCO POLIDO PARA PIA DE COZINHA 1,50 X 0,60 M - FORNECIMENTO E INSTALAÇÃO. AF_12/2013</t>
  </si>
  <si>
    <t>M²</t>
  </si>
  <si>
    <t>(243.54x0.3+0,3)</t>
  </si>
  <si>
    <t>TRAMA DE MADEIRA COMPOSTA POR RIPAS, CAIBROS E TERÇAS PARA TELHADOS DE ATÉ 2 ÁGUAS PARA TELHA CERÂMICA CAPA-CANAL, INCLUSO TRANSPORTE VERTICAL. AF_07/2019</t>
  </si>
  <si>
    <t>1902,61-163,05</t>
  </si>
  <si>
    <t>53 estacas</t>
  </si>
  <si>
    <t>SUMIDOURO CONCRETO PRE MOLDADO, COMPLETO, PARA 10 CONTRIBUINTES</t>
  </si>
  <si>
    <t>KIT PORTA PRONTA DE MADEIRA, FOLHA LEVE (NBR 15930) DE 80 X 210 CM, E = 35 MM, NUCLEO COLMEIA, ESTRUTURA USINADA PARA FECHADURA, CAPA LISA EM HDF, ACABAMENTO EM PRIMER PARA PINTURA (INCLUI MARCO, ALIZARES E DOBRADICAS)</t>
  </si>
  <si>
    <t xml:space="preserve">Porta de abrir </t>
  </si>
  <si>
    <t>PORTA METÁLICA 80 X 210 CM , INCLUINDO FECHADURA TIPO EXTERNA E FERRAGENS, CONFORME DETALHE PADRÃO ESCOLAR 4/98 VERSÃO 2005</t>
  </si>
  <si>
    <t>ED-50916</t>
  </si>
  <si>
    <t>ED-13888</t>
  </si>
  <si>
    <t>FORNECIMENTO E ASSENTAMENTO DE PORTA DE CORRER UMA (1) FOLHA, EM CHAPA GALVANIZADA LAMBRIL, MODELO ONDULADA, INCLUSIVE PERFIS PARA MARCO E PINTURA ANTICORROSIVA COM UMA (1) DEMÃO, EXCLUSIVE FECHADURA E ROLDANAS</t>
  </si>
  <si>
    <t>Porta de correr</t>
  </si>
  <si>
    <t>0,80*2,10*3</t>
  </si>
  <si>
    <t>8.2</t>
  </si>
  <si>
    <t>90820</t>
  </si>
  <si>
    <t>PORTA DE MADEIRA PARA PINTURA, SEMI-OCA (LEVE OU MÉDIA), 60X210CM, ESPESSURA DE 3,5CM, INCLUSO DOBRADIÇAS - FORNECIMENTO E INSTALAÇÃO. AF_12/2019</t>
  </si>
  <si>
    <t>9.2</t>
  </si>
  <si>
    <t>VERGAS E CONTRAVERGAS</t>
  </si>
  <si>
    <t>93190</t>
  </si>
  <si>
    <t>VERGA MOLDADA IN LOCO COM UTILIZAÇÃO DE BLOCOS CANALETA PARA JANELAS COM ATÉ 1,5 M DE VÃO. AF_03/2016</t>
  </si>
  <si>
    <t>93198</t>
  </si>
  <si>
    <t>CONTRAVERGA MOLDADA IN LOCO COM UTILIZAÇÃO DE BLOCOS CANALETA PARA VÃOS DE ATÉ 1,5 M DE COMPRIMENTO. AF_03/2016</t>
  </si>
  <si>
    <t>93192</t>
  </si>
  <si>
    <t>VERGA MOLDADA IN LOCO COM UTILIZAÇÃO DE BLOCOS CANALETA PARA PORTAS COM ATÉ 1,5 M DE VÃO. AF_03/2016</t>
  </si>
  <si>
    <t xml:space="preserve">VERGA E CONTRAVERGA </t>
  </si>
  <si>
    <t xml:space="preserve">Janelas </t>
  </si>
  <si>
    <t xml:space="preserve">Portas </t>
  </si>
  <si>
    <t>5.9.1</t>
  </si>
  <si>
    <t>5.9.2</t>
  </si>
  <si>
    <t>5.9.3</t>
  </si>
  <si>
    <t>7.3</t>
  </si>
  <si>
    <t>7.4</t>
  </si>
  <si>
    <t>9.3</t>
  </si>
  <si>
    <t>10.2</t>
  </si>
  <si>
    <t>12.2</t>
  </si>
  <si>
    <t>12.3</t>
  </si>
  <si>
    <t>15.6</t>
  </si>
  <si>
    <t>15.7</t>
  </si>
  <si>
    <t>15.8</t>
  </si>
  <si>
    <t>15.9</t>
  </si>
  <si>
    <t>15.10</t>
  </si>
  <si>
    <t>15.11</t>
  </si>
  <si>
    <t>15.12</t>
  </si>
  <si>
    <t>15.13</t>
  </si>
  <si>
    <t>15.14</t>
  </si>
  <si>
    <t>15.15</t>
  </si>
  <si>
    <t>15.16</t>
  </si>
  <si>
    <t>15.17</t>
  </si>
  <si>
    <t>15.18</t>
  </si>
  <si>
    <t>17.1</t>
  </si>
  <si>
    <t>17.2</t>
  </si>
  <si>
    <t>17.3</t>
  </si>
  <si>
    <t>17.4</t>
  </si>
  <si>
    <t>17.5</t>
  </si>
  <si>
    <t>17.6</t>
  </si>
  <si>
    <t>17.7</t>
  </si>
  <si>
    <t>17.8</t>
  </si>
  <si>
    <t>17.9</t>
  </si>
  <si>
    <t>17.10</t>
  </si>
  <si>
    <t>17.11</t>
  </si>
  <si>
    <t>17.12</t>
  </si>
  <si>
    <t>17.13</t>
  </si>
  <si>
    <t xml:space="preserve">VERGAS E CONTRAVERGAS </t>
  </si>
  <si>
    <r>
      <rPr>
        <b/>
        <sz val="14"/>
        <color theme="1"/>
        <rFont val="Arial"/>
        <family val="2"/>
      </rPr>
      <t>Obra:</t>
    </r>
    <r>
      <rPr>
        <sz val="14"/>
        <color theme="1"/>
        <rFont val="Arial"/>
        <family val="2"/>
      </rPr>
      <t xml:space="preserve"> Escola Municipal Antônio Rodrigues Carolino</t>
    </r>
  </si>
  <si>
    <r>
      <t xml:space="preserve">Endereço: </t>
    </r>
    <r>
      <rPr>
        <sz val="14"/>
        <color theme="1"/>
        <rFont val="Arial"/>
        <family val="2"/>
      </rPr>
      <t>Rua A, sem número, Comunidade Rural de São Bento - Carmo do Paranaíba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</si>
</sst>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26" x14ac:knownFonts="1">
    <font>
      <sz val="11"/>
      <name val="Arial"/>
      <family val="1"/>
    </font>
    <font>
      <b/>
      <sz val="11"/>
      <name val="Arial"/>
      <family val="1"/>
    </font>
    <font>
      <sz val="10"/>
      <color rgb="FF000000"/>
      <name val="Arial"/>
      <family val="1"/>
    </font>
    <font>
      <sz val="8"/>
      <name val="Arial"/>
      <family val="1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name val="Arial"/>
      <family val="1"/>
    </font>
    <font>
      <sz val="12"/>
      <color theme="1"/>
      <name val="Times"/>
      <family val="1"/>
    </font>
    <font>
      <sz val="10"/>
      <color theme="1"/>
      <name val="Times"/>
      <family val="1"/>
    </font>
    <font>
      <b/>
      <sz val="10"/>
      <color theme="1"/>
      <name val="Times"/>
      <family val="1"/>
    </font>
    <font>
      <b/>
      <sz val="1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Times"/>
      <family val="1"/>
    </font>
    <font>
      <sz val="8"/>
      <color theme="1"/>
      <name val="Times"/>
      <family val="1"/>
    </font>
    <font>
      <sz val="10"/>
      <name val="Arial"/>
      <family val="1"/>
    </font>
    <font>
      <b/>
      <sz val="12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4"/>
      <name val="Arial"/>
      <family val="2"/>
    </font>
    <font>
      <b/>
      <sz val="14"/>
      <color rgb="FF000000"/>
      <name val="Arial"/>
      <family val="2"/>
    </font>
    <font>
      <sz val="14"/>
      <color rgb="FF000000"/>
      <name val="Arial"/>
      <family val="2"/>
    </font>
    <font>
      <sz val="14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D8ECF6"/>
      </patternFill>
    </fill>
    <fill>
      <patternFill patternType="solid">
        <fgColor rgb="FFD8ECF6"/>
      </patternFill>
    </fill>
    <fill>
      <patternFill patternType="solid">
        <fgColor rgb="FFD8ECF6"/>
      </patternFill>
    </fill>
    <fill>
      <patternFill patternType="solid">
        <fgColor rgb="FFD8ECF6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206">
    <xf numFmtId="0" fontId="0" fillId="0" borderId="0" xfId="0"/>
    <xf numFmtId="9" fontId="0" fillId="0" borderId="0" xfId="0" applyNumberFormat="1"/>
    <xf numFmtId="0" fontId="10" fillId="0" borderId="0" xfId="0" applyFont="1"/>
    <xf numFmtId="4" fontId="0" fillId="0" borderId="0" xfId="0" applyNumberFormat="1"/>
    <xf numFmtId="164" fontId="0" fillId="0" borderId="0" xfId="0" applyNumberFormat="1"/>
    <xf numFmtId="0" fontId="1" fillId="2" borderId="0" xfId="0" applyFont="1" applyFill="1" applyBorder="1" applyAlignment="1">
      <alignment horizontal="left" vertical="top" wrapText="1"/>
    </xf>
    <xf numFmtId="0" fontId="8" fillId="10" borderId="7" xfId="0" applyFont="1" applyFill="1" applyBorder="1"/>
    <xf numFmtId="0" fontId="8" fillId="10" borderId="8" xfId="0" applyFont="1" applyFill="1" applyBorder="1"/>
    <xf numFmtId="4" fontId="0" fillId="0" borderId="0" xfId="0" quotePrefix="1" applyNumberFormat="1"/>
    <xf numFmtId="0" fontId="0" fillId="0" borderId="0" xfId="0"/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/>
    </xf>
    <xf numFmtId="0" fontId="14" fillId="0" borderId="1" xfId="0" applyFont="1" applyBorder="1" applyAlignment="1">
      <alignment horizontal="center" vertical="center"/>
    </xf>
    <xf numFmtId="10" fontId="14" fillId="0" borderId="1" xfId="1" applyNumberFormat="1" applyFont="1" applyBorder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/>
    </xf>
    <xf numFmtId="10" fontId="13" fillId="0" borderId="1" xfId="1" applyNumberFormat="1" applyFont="1" applyBorder="1" applyAlignment="1">
      <alignment horizontal="center" vertical="center"/>
    </xf>
    <xf numFmtId="0" fontId="14" fillId="0" borderId="0" xfId="0" applyFont="1" applyAlignment="1">
      <alignment vertical="top"/>
    </xf>
    <xf numFmtId="0" fontId="14" fillId="0" borderId="0" xfId="0" applyFont="1"/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top" wrapText="1"/>
    </xf>
    <xf numFmtId="0" fontId="1" fillId="2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64" fontId="1" fillId="2" borderId="0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0" fontId="0" fillId="0" borderId="0" xfId="0" applyBorder="1"/>
    <xf numFmtId="164" fontId="8" fillId="11" borderId="0" xfId="0" applyNumberFormat="1" applyFont="1" applyFill="1" applyBorder="1" applyAlignment="1">
      <alignment horizontal="center" vertical="center"/>
    </xf>
    <xf numFmtId="2" fontId="0" fillId="0" borderId="0" xfId="0" applyNumberFormat="1"/>
    <xf numFmtId="2" fontId="2" fillId="11" borderId="0" xfId="0" applyNumberFormat="1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left"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2" fontId="16" fillId="5" borderId="1" xfId="0" applyNumberFormat="1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17" fillId="10" borderId="1" xfId="0" applyFont="1" applyFill="1" applyBorder="1" applyAlignment="1">
      <alignment horizontal="left" vertical="center" wrapText="1"/>
    </xf>
    <xf numFmtId="0" fontId="17" fillId="10" borderId="1" xfId="0" applyFont="1" applyFill="1" applyBorder="1" applyAlignment="1">
      <alignment horizontal="center" vertical="center" wrapText="1"/>
    </xf>
    <xf numFmtId="2" fontId="17" fillId="10" borderId="1" xfId="0" applyNumberFormat="1" applyFont="1" applyFill="1" applyBorder="1" applyAlignment="1">
      <alignment horizontal="center" vertical="center" wrapText="1"/>
    </xf>
    <xf numFmtId="0" fontId="17" fillId="6" borderId="1" xfId="0" applyFont="1" applyFill="1" applyBorder="1" applyAlignment="1">
      <alignment horizontal="left" vertical="center" wrapText="1"/>
    </xf>
    <xf numFmtId="0" fontId="17" fillId="6" borderId="1" xfId="0" applyFont="1" applyFill="1" applyBorder="1" applyAlignment="1">
      <alignment horizontal="center" vertical="center" wrapText="1"/>
    </xf>
    <xf numFmtId="2" fontId="17" fillId="7" borderId="1" xfId="0" applyNumberFormat="1" applyFont="1" applyFill="1" applyBorder="1" applyAlignment="1">
      <alignment horizontal="center" vertical="center" wrapText="1"/>
    </xf>
    <xf numFmtId="0" fontId="17" fillId="9" borderId="1" xfId="0" applyFont="1" applyFill="1" applyBorder="1" applyAlignment="1">
      <alignment horizontal="left" vertical="center" wrapText="1"/>
    </xf>
    <xf numFmtId="0" fontId="17" fillId="9" borderId="1" xfId="0" applyFont="1" applyFill="1" applyBorder="1" applyAlignment="1">
      <alignment horizontal="center" vertical="center" wrapText="1"/>
    </xf>
    <xf numFmtId="2" fontId="17" fillId="9" borderId="1" xfId="0" applyNumberFormat="1" applyFont="1" applyFill="1" applyBorder="1" applyAlignment="1">
      <alignment horizontal="center" vertical="center" wrapText="1"/>
    </xf>
    <xf numFmtId="0" fontId="17" fillId="12" borderId="1" xfId="0" applyFont="1" applyFill="1" applyBorder="1" applyAlignment="1">
      <alignment horizontal="left" vertical="center" wrapText="1"/>
    </xf>
    <xf numFmtId="0" fontId="17" fillId="12" borderId="1" xfId="0" applyFont="1" applyFill="1" applyBorder="1" applyAlignment="1">
      <alignment horizontal="center" vertical="center" wrapText="1"/>
    </xf>
    <xf numFmtId="2" fontId="17" fillId="12" borderId="1" xfId="0" applyNumberFormat="1" applyFont="1" applyFill="1" applyBorder="1" applyAlignment="1">
      <alignment horizontal="center" vertical="center" wrapText="1"/>
    </xf>
    <xf numFmtId="0" fontId="18" fillId="12" borderId="1" xfId="0" applyFont="1" applyFill="1" applyBorder="1" applyAlignment="1">
      <alignment horizontal="center" vertical="center" wrapText="1"/>
    </xf>
    <xf numFmtId="2" fontId="18" fillId="12" borderId="1" xfId="0" applyNumberFormat="1" applyFont="1" applyFill="1" applyBorder="1" applyAlignment="1">
      <alignment horizontal="center" vertical="center" wrapText="1"/>
    </xf>
    <xf numFmtId="164" fontId="2" fillId="11" borderId="0" xfId="0" applyNumberFormat="1" applyFont="1" applyFill="1" applyBorder="1" applyAlignment="1">
      <alignment horizontal="center" vertical="center" wrapText="1"/>
    </xf>
    <xf numFmtId="0" fontId="0" fillId="11" borderId="0" xfId="0" applyFill="1" applyBorder="1"/>
    <xf numFmtId="10" fontId="9" fillId="10" borderId="7" xfId="0" applyNumberFormat="1" applyFont="1" applyFill="1" applyBorder="1" applyAlignment="1">
      <alignment horizontal="center" vertical="center"/>
    </xf>
    <xf numFmtId="10" fontId="9" fillId="10" borderId="13" xfId="0" applyNumberFormat="1" applyFont="1" applyFill="1" applyBorder="1" applyAlignment="1">
      <alignment horizontal="center" vertical="center"/>
    </xf>
    <xf numFmtId="164" fontId="9" fillId="10" borderId="8" xfId="0" applyNumberFormat="1" applyFont="1" applyFill="1" applyBorder="1" applyAlignment="1">
      <alignment horizontal="center" vertical="center"/>
    </xf>
    <xf numFmtId="164" fontId="9" fillId="10" borderId="14" xfId="0" applyNumberFormat="1" applyFont="1" applyFill="1" applyBorder="1" applyAlignment="1">
      <alignment horizontal="center" vertical="center"/>
    </xf>
    <xf numFmtId="0" fontId="15" fillId="0" borderId="0" xfId="0" applyFont="1"/>
    <xf numFmtId="0" fontId="0" fillId="0" borderId="0" xfId="0"/>
    <xf numFmtId="0" fontId="9" fillId="11" borderId="6" xfId="0" applyFont="1" applyFill="1" applyBorder="1" applyAlignment="1">
      <alignment horizontal="center" vertical="center"/>
    </xf>
    <xf numFmtId="0" fontId="9" fillId="11" borderId="6" xfId="0" applyFont="1" applyFill="1" applyBorder="1" applyAlignment="1">
      <alignment horizontal="center" vertical="center" wrapText="1"/>
    </xf>
    <xf numFmtId="0" fontId="8" fillId="11" borderId="7" xfId="0" applyFont="1" applyFill="1" applyBorder="1"/>
    <xf numFmtId="9" fontId="8" fillId="11" borderId="7" xfId="0" applyNumberFormat="1" applyFont="1" applyFill="1" applyBorder="1" applyAlignment="1">
      <alignment horizontal="center" vertical="center"/>
    </xf>
    <xf numFmtId="10" fontId="8" fillId="11" borderId="7" xfId="0" applyNumberFormat="1" applyFont="1" applyFill="1" applyBorder="1" applyAlignment="1">
      <alignment horizontal="center" vertical="center"/>
    </xf>
    <xf numFmtId="0" fontId="8" fillId="11" borderId="8" xfId="0" applyFont="1" applyFill="1" applyBorder="1"/>
    <xf numFmtId="164" fontId="8" fillId="11" borderId="8" xfId="0" applyNumberFormat="1" applyFont="1" applyFill="1" applyBorder="1" applyAlignment="1">
      <alignment horizontal="center" vertical="center"/>
    </xf>
    <xf numFmtId="0" fontId="8" fillId="11" borderId="8" xfId="0" applyFont="1" applyFill="1" applyBorder="1" applyAlignment="1">
      <alignment horizontal="center" vertical="center"/>
    </xf>
    <xf numFmtId="0" fontId="18" fillId="11" borderId="1" xfId="0" applyFont="1" applyFill="1" applyBorder="1" applyAlignment="1">
      <alignment horizontal="left" vertical="center" wrapText="1"/>
    </xf>
    <xf numFmtId="0" fontId="18" fillId="11" borderId="1" xfId="0" applyFont="1" applyFill="1" applyBorder="1" applyAlignment="1">
      <alignment horizontal="center" vertical="center" wrapText="1"/>
    </xf>
    <xf numFmtId="2" fontId="18" fillId="11" borderId="1" xfId="0" applyNumberFormat="1" applyFont="1" applyFill="1" applyBorder="1" applyAlignment="1">
      <alignment horizontal="center" vertical="center" wrapText="1"/>
    </xf>
    <xf numFmtId="0" fontId="0" fillId="11" borderId="0" xfId="0" applyFill="1"/>
    <xf numFmtId="0" fontId="0" fillId="0" borderId="0" xfId="0"/>
    <xf numFmtId="0" fontId="0" fillId="0" borderId="0" xfId="0"/>
    <xf numFmtId="164" fontId="8" fillId="11" borderId="7" xfId="0" applyNumberFormat="1" applyFont="1" applyFill="1" applyBorder="1" applyAlignment="1">
      <alignment horizontal="center" vertical="center"/>
    </xf>
    <xf numFmtId="0" fontId="0" fillId="0" borderId="0" xfId="0"/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vertical="center" wrapText="1"/>
    </xf>
    <xf numFmtId="164" fontId="18" fillId="11" borderId="1" xfId="0" applyNumberFormat="1" applyFont="1" applyFill="1" applyBorder="1" applyAlignment="1">
      <alignment horizontal="center" vertical="center" wrapText="1"/>
    </xf>
    <xf numFmtId="164" fontId="17" fillId="10" borderId="1" xfId="0" applyNumberFormat="1" applyFont="1" applyFill="1" applyBorder="1" applyAlignment="1">
      <alignment horizontal="center" vertical="center" wrapText="1"/>
    </xf>
    <xf numFmtId="164" fontId="16" fillId="5" borderId="1" xfId="0" applyNumberFormat="1" applyFont="1" applyFill="1" applyBorder="1" applyAlignment="1">
      <alignment horizontal="center" vertical="center" wrapText="1"/>
    </xf>
    <xf numFmtId="164" fontId="17" fillId="6" borderId="1" xfId="0" applyNumberFormat="1" applyFont="1" applyFill="1" applyBorder="1" applyAlignment="1">
      <alignment horizontal="center" vertical="center" wrapText="1"/>
    </xf>
    <xf numFmtId="164" fontId="17" fillId="8" borderId="1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164" fontId="17" fillId="9" borderId="1" xfId="0" applyNumberFormat="1" applyFont="1" applyFill="1" applyBorder="1" applyAlignment="1">
      <alignment horizontal="center" vertical="center" wrapText="1"/>
    </xf>
    <xf numFmtId="164" fontId="18" fillId="12" borderId="1" xfId="0" applyNumberFormat="1" applyFont="1" applyFill="1" applyBorder="1" applyAlignment="1">
      <alignment horizontal="center" vertical="center" wrapText="1"/>
    </xf>
    <xf numFmtId="164" fontId="17" fillId="12" borderId="1" xfId="0" applyNumberFormat="1" applyFont="1" applyFill="1" applyBorder="1" applyAlignment="1">
      <alignment horizontal="center" vertical="center" wrapText="1"/>
    </xf>
    <xf numFmtId="4" fontId="19" fillId="0" borderId="1" xfId="0" applyNumberFormat="1" applyFont="1" applyBorder="1" applyAlignment="1">
      <alignment horizontal="center" vertical="center"/>
    </xf>
    <xf numFmtId="0" fontId="19" fillId="0" borderId="0" xfId="0" applyFont="1" applyAlignment="1">
      <alignment wrapText="1"/>
    </xf>
    <xf numFmtId="0" fontId="18" fillId="11" borderId="6" xfId="0" applyFont="1" applyFill="1" applyBorder="1" applyAlignment="1">
      <alignment horizontal="center" vertical="center" wrapText="1"/>
    </xf>
    <xf numFmtId="2" fontId="18" fillId="11" borderId="6" xfId="0" applyNumberFormat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/>
    </xf>
    <xf numFmtId="2" fontId="19" fillId="0" borderId="1" xfId="0" applyNumberFormat="1" applyFont="1" applyBorder="1" applyAlignment="1">
      <alignment horizontal="center" vertical="center"/>
    </xf>
    <xf numFmtId="164" fontId="19" fillId="0" borderId="1" xfId="0" applyNumberFormat="1" applyFont="1" applyBorder="1" applyAlignment="1">
      <alignment horizontal="center" vertical="center"/>
    </xf>
    <xf numFmtId="0" fontId="19" fillId="0" borderId="0" xfId="0" applyFont="1"/>
    <xf numFmtId="2" fontId="19" fillId="0" borderId="0" xfId="0" applyNumberFormat="1" applyFont="1" applyAlignment="1">
      <alignment horizontal="center" vertical="center"/>
    </xf>
    <xf numFmtId="164" fontId="19" fillId="0" borderId="0" xfId="0" applyNumberFormat="1" applyFont="1" applyAlignment="1">
      <alignment horizontal="center" vertical="center"/>
    </xf>
    <xf numFmtId="164" fontId="8" fillId="11" borderId="17" xfId="0" applyNumberFormat="1" applyFont="1" applyFill="1" applyBorder="1" applyAlignment="1">
      <alignment horizontal="center" vertical="center"/>
    </xf>
    <xf numFmtId="9" fontId="9" fillId="10" borderId="7" xfId="1" applyFont="1" applyFill="1" applyBorder="1" applyAlignment="1">
      <alignment horizontal="center" vertical="center"/>
    </xf>
    <xf numFmtId="0" fontId="22" fillId="3" borderId="1" xfId="0" applyFont="1" applyFill="1" applyBorder="1" applyAlignment="1">
      <alignment horizontal="left" vertical="center" wrapText="1"/>
    </xf>
    <xf numFmtId="0" fontId="22" fillId="5" borderId="1" xfId="0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 wrapText="1"/>
    </xf>
    <xf numFmtId="2" fontId="22" fillId="5" borderId="1" xfId="0" applyNumberFormat="1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 wrapText="1"/>
    </xf>
    <xf numFmtId="0" fontId="23" fillId="10" borderId="1" xfId="0" applyFont="1" applyFill="1" applyBorder="1" applyAlignment="1">
      <alignment horizontal="left" vertical="center" wrapText="1"/>
    </xf>
    <xf numFmtId="0" fontId="23" fillId="10" borderId="1" xfId="0" applyFont="1" applyFill="1" applyBorder="1" applyAlignment="1">
      <alignment horizontal="center" vertical="center" wrapText="1"/>
    </xf>
    <xf numFmtId="2" fontId="23" fillId="10" borderId="1" xfId="0" applyNumberFormat="1" applyFont="1" applyFill="1" applyBorder="1" applyAlignment="1">
      <alignment horizontal="center" vertical="center" wrapText="1"/>
    </xf>
    <xf numFmtId="0" fontId="23" fillId="6" borderId="1" xfId="0" applyFont="1" applyFill="1" applyBorder="1" applyAlignment="1">
      <alignment horizontal="left" vertical="center" wrapText="1"/>
    </xf>
    <xf numFmtId="0" fontId="23" fillId="6" borderId="1" xfId="0" applyFont="1" applyFill="1" applyBorder="1" applyAlignment="1">
      <alignment horizontal="center" vertical="center" wrapText="1"/>
    </xf>
    <xf numFmtId="2" fontId="23" fillId="7" borderId="1" xfId="0" applyNumberFormat="1" applyFont="1" applyFill="1" applyBorder="1" applyAlignment="1">
      <alignment horizontal="center" vertical="center" wrapText="1"/>
    </xf>
    <xf numFmtId="2" fontId="23" fillId="6" borderId="1" xfId="0" applyNumberFormat="1" applyFont="1" applyFill="1" applyBorder="1" applyAlignment="1">
      <alignment horizontal="center" vertical="center" wrapText="1"/>
    </xf>
    <xf numFmtId="0" fontId="24" fillId="11" borderId="1" xfId="0" applyFont="1" applyFill="1" applyBorder="1" applyAlignment="1">
      <alignment horizontal="left" vertical="center" wrapText="1"/>
    </xf>
    <xf numFmtId="0" fontId="24" fillId="11" borderId="1" xfId="0" applyFont="1" applyFill="1" applyBorder="1" applyAlignment="1">
      <alignment horizontal="center" vertical="center" wrapText="1"/>
    </xf>
    <xf numFmtId="2" fontId="24" fillId="11" borderId="1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vertical="center" wrapText="1"/>
    </xf>
    <xf numFmtId="2" fontId="25" fillId="11" borderId="1" xfId="0" applyNumberFormat="1" applyFont="1" applyFill="1" applyBorder="1" applyAlignment="1">
      <alignment horizontal="center" vertical="center" wrapText="1"/>
    </xf>
    <xf numFmtId="2" fontId="22" fillId="6" borderId="1" xfId="0" applyNumberFormat="1" applyFont="1" applyFill="1" applyBorder="1" applyAlignment="1">
      <alignment horizontal="center" vertical="center" wrapText="1"/>
    </xf>
    <xf numFmtId="0" fontId="23" fillId="9" borderId="1" xfId="0" applyFont="1" applyFill="1" applyBorder="1" applyAlignment="1">
      <alignment horizontal="left" vertical="center" wrapText="1"/>
    </xf>
    <xf numFmtId="0" fontId="23" fillId="9" borderId="1" xfId="0" applyFont="1" applyFill="1" applyBorder="1" applyAlignment="1">
      <alignment horizontal="center" vertical="center" wrapText="1"/>
    </xf>
    <xf numFmtId="2" fontId="23" fillId="9" borderId="1" xfId="0" applyNumberFormat="1" applyFont="1" applyFill="1" applyBorder="1" applyAlignment="1">
      <alignment horizontal="center" vertical="center" wrapText="1"/>
    </xf>
    <xf numFmtId="2" fontId="22" fillId="9" borderId="1" xfId="0" applyNumberFormat="1" applyFont="1" applyFill="1" applyBorder="1" applyAlignment="1">
      <alignment horizontal="center" vertical="center" wrapText="1"/>
    </xf>
    <xf numFmtId="2" fontId="23" fillId="12" borderId="1" xfId="0" applyNumberFormat="1" applyFont="1" applyFill="1" applyBorder="1" applyAlignment="1">
      <alignment horizontal="center" vertical="center" wrapText="1"/>
    </xf>
    <xf numFmtId="2" fontId="24" fillId="12" borderId="1" xfId="0" applyNumberFormat="1" applyFont="1" applyFill="1" applyBorder="1" applyAlignment="1">
      <alignment horizontal="center" vertical="center" wrapText="1"/>
    </xf>
    <xf numFmtId="2" fontId="25" fillId="12" borderId="1" xfId="0" applyNumberFormat="1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vertical="center" wrapText="1"/>
    </xf>
    <xf numFmtId="4" fontId="25" fillId="0" borderId="1" xfId="0" applyNumberFormat="1" applyFont="1" applyBorder="1" applyAlignment="1">
      <alignment horizontal="center" vertical="center"/>
    </xf>
    <xf numFmtId="0" fontId="25" fillId="0" borderId="0" xfId="0" applyFont="1" applyAlignment="1">
      <alignment wrapText="1"/>
    </xf>
    <xf numFmtId="0" fontId="23" fillId="12" borderId="1" xfId="0" applyFont="1" applyFill="1" applyBorder="1" applyAlignment="1">
      <alignment horizontal="left" vertical="center" wrapText="1"/>
    </xf>
    <xf numFmtId="0" fontId="23" fillId="12" borderId="1" xfId="0" applyFont="1" applyFill="1" applyBorder="1" applyAlignment="1">
      <alignment horizontal="center" vertical="center" wrapText="1"/>
    </xf>
    <xf numFmtId="2" fontId="22" fillId="12" borderId="1" xfId="0" applyNumberFormat="1" applyFont="1" applyFill="1" applyBorder="1" applyAlignment="1">
      <alignment horizontal="center" vertical="center" wrapText="1"/>
    </xf>
    <xf numFmtId="0" fontId="24" fillId="12" borderId="1" xfId="0" applyFont="1" applyFill="1" applyBorder="1" applyAlignment="1">
      <alignment horizontal="center" vertical="center" wrapText="1"/>
    </xf>
    <xf numFmtId="0" fontId="25" fillId="0" borderId="0" xfId="0" applyFont="1"/>
    <xf numFmtId="2" fontId="25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top" wrapText="1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1" fillId="2" borderId="0" xfId="0" applyFont="1" applyFill="1" applyBorder="1" applyAlignment="1">
      <alignment horizontal="center" vertical="center" wrapText="1"/>
    </xf>
    <xf numFmtId="164" fontId="1" fillId="2" borderId="0" xfId="0" applyNumberFormat="1" applyFont="1" applyFill="1" applyBorder="1" applyAlignment="1">
      <alignment horizontal="center" vertical="center" wrapText="1"/>
    </xf>
    <xf numFmtId="0" fontId="17" fillId="1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/>
    </xf>
    <xf numFmtId="0" fontId="12" fillId="10" borderId="1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16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14" fillId="0" borderId="0" xfId="0" applyFont="1" applyAlignment="1">
      <alignment horizontal="center" vertical="top" wrapText="1"/>
    </xf>
    <xf numFmtId="0" fontId="14" fillId="0" borderId="0" xfId="0" applyFont="1" applyAlignment="1">
      <alignment horizontal="center" vertical="top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/>
    </xf>
    <xf numFmtId="0" fontId="14" fillId="0" borderId="0" xfId="0" applyFont="1" applyAlignment="1">
      <alignment horizontal="left" vertical="top" wrapText="1"/>
    </xf>
    <xf numFmtId="0" fontId="14" fillId="11" borderId="0" xfId="0" applyFont="1" applyFill="1" applyAlignment="1">
      <alignment horizontal="left" vertical="top" wrapText="1"/>
    </xf>
    <xf numFmtId="0" fontId="14" fillId="0" borderId="0" xfId="0" applyFont="1" applyAlignment="1">
      <alignment horizontal="center" vertical="center" wrapText="1"/>
    </xf>
    <xf numFmtId="2" fontId="13" fillId="0" borderId="2" xfId="0" applyNumberFormat="1" applyFont="1" applyBorder="1" applyAlignment="1">
      <alignment horizontal="center" vertical="center"/>
    </xf>
    <xf numFmtId="2" fontId="13" fillId="0" borderId="3" xfId="0" applyNumberFormat="1" applyFont="1" applyBorder="1" applyAlignment="1">
      <alignment horizontal="center" vertical="center"/>
    </xf>
    <xf numFmtId="2" fontId="13" fillId="0" borderId="4" xfId="0" applyNumberFormat="1" applyFont="1" applyBorder="1" applyAlignment="1">
      <alignment horizontal="center" vertical="center"/>
    </xf>
    <xf numFmtId="0" fontId="13" fillId="10" borderId="1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left" vertical="top" wrapText="1"/>
    </xf>
    <xf numFmtId="0" fontId="14" fillId="0" borderId="3" xfId="0" applyFont="1" applyBorder="1" applyAlignment="1">
      <alignment horizontal="left" vertical="top" wrapText="1"/>
    </xf>
    <xf numFmtId="0" fontId="14" fillId="0" borderId="4" xfId="0" applyFont="1" applyBorder="1" applyAlignment="1">
      <alignment horizontal="left" vertical="top" wrapText="1"/>
    </xf>
    <xf numFmtId="0" fontId="13" fillId="0" borderId="2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/>
    </xf>
    <xf numFmtId="0" fontId="14" fillId="0" borderId="4" xfId="0" applyFont="1" applyBorder="1" applyAlignment="1">
      <alignment horizontal="left" vertical="top"/>
    </xf>
    <xf numFmtId="0" fontId="3" fillId="0" borderId="5" xfId="0" applyFont="1" applyBorder="1" applyAlignment="1">
      <alignment horizontal="center" vertical="center"/>
    </xf>
    <xf numFmtId="0" fontId="14" fillId="0" borderId="2" xfId="0" applyFont="1" applyBorder="1" applyAlignment="1">
      <alignment horizontal="left" vertical="center"/>
    </xf>
    <xf numFmtId="0" fontId="14" fillId="0" borderId="3" xfId="0" applyFont="1" applyBorder="1" applyAlignment="1">
      <alignment horizontal="left" vertical="center"/>
    </xf>
    <xf numFmtId="0" fontId="14" fillId="0" borderId="4" xfId="0" applyFont="1" applyBorder="1" applyAlignment="1">
      <alignment horizontal="left" vertical="center"/>
    </xf>
    <xf numFmtId="2" fontId="14" fillId="0" borderId="1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9" fillId="11" borderId="9" xfId="0" applyFont="1" applyFill="1" applyBorder="1" applyAlignment="1">
      <alignment horizontal="center" vertical="center"/>
    </xf>
    <xf numFmtId="0" fontId="9" fillId="11" borderId="10" xfId="0" applyFont="1" applyFill="1" applyBorder="1" applyAlignment="1">
      <alignment horizontal="center" vertical="center"/>
    </xf>
    <xf numFmtId="0" fontId="8" fillId="11" borderId="9" xfId="0" applyFont="1" applyFill="1" applyBorder="1" applyAlignment="1">
      <alignment horizontal="left" vertical="center" wrapText="1"/>
    </xf>
    <xf numFmtId="0" fontId="8" fillId="11" borderId="10" xfId="0" applyFont="1" applyFill="1" applyBorder="1" applyAlignment="1">
      <alignment horizontal="left" vertical="center" wrapText="1"/>
    </xf>
    <xf numFmtId="164" fontId="8" fillId="11" borderId="7" xfId="0" applyNumberFormat="1" applyFont="1" applyFill="1" applyBorder="1" applyAlignment="1">
      <alignment horizontal="center" vertical="center"/>
    </xf>
    <xf numFmtId="164" fontId="8" fillId="11" borderId="8" xfId="0" applyNumberFormat="1" applyFont="1" applyFill="1" applyBorder="1" applyAlignment="1">
      <alignment horizontal="center" vertical="center"/>
    </xf>
    <xf numFmtId="0" fontId="9" fillId="10" borderId="11" xfId="0" applyFont="1" applyFill="1" applyBorder="1" applyAlignment="1">
      <alignment horizontal="center" vertical="center"/>
    </xf>
    <xf numFmtId="0" fontId="9" fillId="10" borderId="7" xfId="0" applyFont="1" applyFill="1" applyBorder="1" applyAlignment="1">
      <alignment horizontal="center" vertical="center"/>
    </xf>
    <xf numFmtId="0" fontId="9" fillId="10" borderId="12" xfId="0" applyFont="1" applyFill="1" applyBorder="1" applyAlignment="1">
      <alignment horizontal="center" vertical="center"/>
    </xf>
    <xf numFmtId="0" fontId="9" fillId="10" borderId="8" xfId="0" applyFont="1" applyFill="1" applyBorder="1" applyAlignment="1">
      <alignment horizontal="center" vertical="center"/>
    </xf>
    <xf numFmtId="164" fontId="9" fillId="10" borderId="7" xfId="0" applyNumberFormat="1" applyFont="1" applyFill="1" applyBorder="1" applyAlignment="1">
      <alignment horizontal="center" vertical="center"/>
    </xf>
    <xf numFmtId="164" fontId="9" fillId="10" borderId="8" xfId="0" applyNumberFormat="1" applyFont="1" applyFill="1" applyBorder="1" applyAlignment="1">
      <alignment horizontal="center" vertical="center"/>
    </xf>
    <xf numFmtId="0" fontId="9" fillId="11" borderId="7" xfId="0" applyFont="1" applyFill="1" applyBorder="1" applyAlignment="1">
      <alignment horizontal="center" vertical="center"/>
    </xf>
    <xf numFmtId="0" fontId="9" fillId="11" borderId="8" xfId="0" applyFont="1" applyFill="1" applyBorder="1" applyAlignment="1">
      <alignment horizontal="center" vertical="center"/>
    </xf>
    <xf numFmtId="0" fontId="8" fillId="11" borderId="7" xfId="0" applyFont="1" applyFill="1" applyBorder="1" applyAlignment="1">
      <alignment horizontal="left" vertical="center"/>
    </xf>
    <xf numFmtId="0" fontId="8" fillId="11" borderId="8" xfId="0" applyFont="1" applyFill="1" applyBorder="1" applyAlignment="1">
      <alignment horizontal="left" vertical="center"/>
    </xf>
    <xf numFmtId="0" fontId="8" fillId="11" borderId="9" xfId="0" applyFont="1" applyFill="1" applyBorder="1" applyAlignment="1">
      <alignment horizontal="center" vertical="center" wrapText="1"/>
    </xf>
    <xf numFmtId="0" fontId="8" fillId="11" borderId="10" xfId="0" applyFont="1" applyFill="1" applyBorder="1" applyAlignment="1">
      <alignment horizontal="center" vertical="center" wrapText="1"/>
    </xf>
    <xf numFmtId="164" fontId="8" fillId="11" borderId="9" xfId="0" applyNumberFormat="1" applyFont="1" applyFill="1" applyBorder="1" applyAlignment="1">
      <alignment horizontal="center" vertical="center"/>
    </xf>
    <xf numFmtId="164" fontId="8" fillId="11" borderId="10" xfId="0" applyNumberFormat="1" applyFont="1" applyFill="1" applyBorder="1" applyAlignment="1">
      <alignment horizontal="center" vertical="center"/>
    </xf>
    <xf numFmtId="0" fontId="9" fillId="10" borderId="1" xfId="0" applyFont="1" applyFill="1" applyBorder="1" applyAlignment="1">
      <alignment horizontal="center"/>
    </xf>
    <xf numFmtId="0" fontId="8" fillId="10" borderId="1" xfId="0" applyFont="1" applyFill="1" applyBorder="1" applyAlignment="1">
      <alignment horizontal="center" vertical="center"/>
    </xf>
    <xf numFmtId="0" fontId="9" fillId="10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top" wrapText="1"/>
    </xf>
    <xf numFmtId="0" fontId="8" fillId="11" borderId="7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0" fillId="0" borderId="0" xfId="0"/>
    <xf numFmtId="0" fontId="21" fillId="0" borderId="1" xfId="0" applyFont="1" applyBorder="1" applyAlignment="1">
      <alignment horizontal="left" vertical="center"/>
    </xf>
    <xf numFmtId="0" fontId="20" fillId="0" borderId="1" xfId="0" applyFont="1" applyBorder="1" applyAlignment="1">
      <alignment horizontal="left" vertical="center"/>
    </xf>
    <xf numFmtId="0" fontId="20" fillId="10" borderId="15" xfId="0" applyFont="1" applyFill="1" applyBorder="1" applyAlignment="1">
      <alignment horizontal="center" vertical="center"/>
    </xf>
    <xf numFmtId="0" fontId="20" fillId="10" borderId="16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top" wrapText="1"/>
    </xf>
  </cellXfs>
  <cellStyles count="2">
    <cellStyle name="Normal" xfId="0" builtinId="0"/>
    <cellStyle name="Porcentagem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peated%20header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eated header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157"/>
  <sheetViews>
    <sheetView tabSelected="1" showOutlineSymbols="0" showWhiteSpace="0" zoomScale="80" zoomScaleNormal="80" workbookViewId="0">
      <selection activeCell="J54" sqref="J54"/>
    </sheetView>
  </sheetViews>
  <sheetFormatPr defaultRowHeight="14.25" x14ac:dyDescent="0.2"/>
  <cols>
    <col min="2" max="2" width="10" bestFit="1" customWidth="1"/>
    <col min="3" max="3" width="10" style="23" bestFit="1" customWidth="1"/>
    <col min="4" max="4" width="9.875" style="23" bestFit="1" customWidth="1"/>
    <col min="5" max="5" width="60" bestFit="1" customWidth="1"/>
    <col min="6" max="6" width="8" style="23" bestFit="1" customWidth="1"/>
    <col min="7" max="7" width="13" style="24" bestFit="1" customWidth="1"/>
    <col min="8" max="9" width="13.125" style="26" bestFit="1" customWidth="1"/>
    <col min="10" max="10" width="24.125" style="26" bestFit="1" customWidth="1"/>
    <col min="13" max="13" width="12.75" bestFit="1" customWidth="1"/>
  </cols>
  <sheetData>
    <row r="1" spans="2:13" x14ac:dyDescent="0.2">
      <c r="B1" s="135"/>
      <c r="C1" s="136"/>
      <c r="D1" s="136"/>
      <c r="E1" s="136"/>
      <c r="F1" s="136"/>
      <c r="G1" s="136"/>
      <c r="H1" s="136"/>
      <c r="I1" s="136"/>
      <c r="J1" s="136"/>
    </row>
    <row r="2" spans="2:13" ht="15" x14ac:dyDescent="0.2">
      <c r="B2" s="5"/>
      <c r="C2" s="22"/>
      <c r="D2" s="22"/>
      <c r="E2" s="5"/>
      <c r="F2" s="137"/>
      <c r="G2" s="137"/>
      <c r="H2" s="138"/>
      <c r="I2" s="138"/>
      <c r="J2" s="25"/>
    </row>
    <row r="3" spans="2:13" ht="30.6" customHeight="1" x14ac:dyDescent="0.2">
      <c r="B3" s="141" t="s">
        <v>129</v>
      </c>
      <c r="C3" s="141"/>
      <c r="D3" s="141"/>
      <c r="E3" s="141"/>
      <c r="F3" s="141"/>
      <c r="G3" s="141"/>
      <c r="H3" s="141"/>
      <c r="I3" s="141"/>
      <c r="J3" s="141"/>
    </row>
    <row r="4" spans="2:13" ht="15.75" x14ac:dyDescent="0.2">
      <c r="B4" s="140" t="s">
        <v>253</v>
      </c>
      <c r="C4" s="140"/>
      <c r="D4" s="140"/>
      <c r="E4" s="140"/>
      <c r="F4" s="140"/>
      <c r="G4" s="140"/>
      <c r="H4" s="140"/>
      <c r="I4" s="140"/>
      <c r="J4" s="140"/>
    </row>
    <row r="5" spans="2:13" ht="39" customHeight="1" x14ac:dyDescent="0.25">
      <c r="B5" s="142" t="s">
        <v>254</v>
      </c>
      <c r="C5" s="143"/>
      <c r="D5" s="143"/>
      <c r="E5" s="143"/>
      <c r="F5" s="144" t="s">
        <v>252</v>
      </c>
      <c r="G5" s="144"/>
      <c r="H5" s="144"/>
      <c r="I5" s="144"/>
      <c r="J5" s="144"/>
      <c r="K5" s="2"/>
      <c r="L5" s="1"/>
    </row>
    <row r="6" spans="2:13" ht="15" customHeight="1" x14ac:dyDescent="0.2">
      <c r="B6" s="140" t="s">
        <v>251</v>
      </c>
      <c r="C6" s="140"/>
      <c r="D6" s="140"/>
      <c r="E6" s="140"/>
      <c r="F6" s="140"/>
      <c r="G6" s="140"/>
      <c r="H6" s="140"/>
      <c r="I6" s="140"/>
      <c r="J6" s="140"/>
    </row>
    <row r="7" spans="2:13" ht="30" customHeight="1" x14ac:dyDescent="0.25">
      <c r="B7" s="31" t="s">
        <v>0</v>
      </c>
      <c r="C7" s="32" t="s">
        <v>1</v>
      </c>
      <c r="D7" s="33" t="s">
        <v>2</v>
      </c>
      <c r="E7" s="31" t="s">
        <v>3</v>
      </c>
      <c r="F7" s="35" t="s">
        <v>4</v>
      </c>
      <c r="G7" s="34" t="s">
        <v>5</v>
      </c>
      <c r="H7" s="78" t="s">
        <v>6</v>
      </c>
      <c r="I7" s="78" t="s">
        <v>7</v>
      </c>
      <c r="J7" s="78" t="s">
        <v>8</v>
      </c>
      <c r="K7" s="2"/>
    </row>
    <row r="8" spans="2:13" ht="15.75" x14ac:dyDescent="0.25">
      <c r="B8" s="36"/>
      <c r="C8" s="37"/>
      <c r="D8" s="37"/>
      <c r="E8" s="36" t="s">
        <v>9</v>
      </c>
      <c r="F8" s="37"/>
      <c r="G8" s="38"/>
      <c r="H8" s="77"/>
      <c r="I8" s="77"/>
      <c r="J8" s="77">
        <f>J9+J13+J15</f>
        <v>20406.067391999997</v>
      </c>
      <c r="K8" s="2"/>
    </row>
    <row r="9" spans="2:13" ht="15.75" x14ac:dyDescent="0.25">
      <c r="B9" s="39">
        <v>1</v>
      </c>
      <c r="C9" s="40"/>
      <c r="D9" s="40"/>
      <c r="E9" s="39" t="s">
        <v>10</v>
      </c>
      <c r="F9" s="40"/>
      <c r="G9" s="41"/>
      <c r="H9" s="79"/>
      <c r="I9" s="79"/>
      <c r="J9" s="80">
        <f>SUM(J10:J12)</f>
        <v>10732.467231999999</v>
      </c>
      <c r="K9" s="2"/>
    </row>
    <row r="10" spans="2:13" ht="30" x14ac:dyDescent="0.25">
      <c r="B10" s="66" t="s">
        <v>255</v>
      </c>
      <c r="C10" s="67" t="s">
        <v>11</v>
      </c>
      <c r="D10" s="67" t="s">
        <v>12</v>
      </c>
      <c r="E10" s="66" t="s">
        <v>13</v>
      </c>
      <c r="F10" s="67" t="s">
        <v>14</v>
      </c>
      <c r="G10" s="68">
        <v>6.72</v>
      </c>
      <c r="H10" s="76">
        <v>5.83</v>
      </c>
      <c r="I10" s="76">
        <f>H10*1.27</f>
        <v>7.4041000000000006</v>
      </c>
      <c r="J10" s="76">
        <f>G10*I10</f>
        <v>49.755552000000002</v>
      </c>
      <c r="K10" s="2"/>
    </row>
    <row r="11" spans="2:13" ht="30" x14ac:dyDescent="0.25">
      <c r="B11" s="66" t="s">
        <v>256</v>
      </c>
      <c r="C11" s="67" t="s">
        <v>15</v>
      </c>
      <c r="D11" s="67" t="s">
        <v>12</v>
      </c>
      <c r="E11" s="66" t="s">
        <v>16</v>
      </c>
      <c r="F11" s="67" t="s">
        <v>14</v>
      </c>
      <c r="G11" s="68">
        <v>11.2</v>
      </c>
      <c r="H11" s="76">
        <v>19.84</v>
      </c>
      <c r="I11" s="76">
        <f t="shared" ref="I11:I12" si="0">H11*1.27</f>
        <v>25.1968</v>
      </c>
      <c r="J11" s="76">
        <f t="shared" ref="J11:J12" si="1">G11*I11</f>
        <v>282.20416</v>
      </c>
      <c r="K11" s="2"/>
    </row>
    <row r="12" spans="2:13" ht="30" x14ac:dyDescent="0.25">
      <c r="B12" s="66" t="s">
        <v>257</v>
      </c>
      <c r="C12" s="67" t="s">
        <v>17</v>
      </c>
      <c r="D12" s="67" t="s">
        <v>12</v>
      </c>
      <c r="E12" s="66" t="s">
        <v>18</v>
      </c>
      <c r="F12" s="67" t="s">
        <v>19</v>
      </c>
      <c r="G12" s="68">
        <v>124.8</v>
      </c>
      <c r="H12" s="76">
        <v>65.62</v>
      </c>
      <c r="I12" s="76">
        <f t="shared" si="0"/>
        <v>83.337400000000002</v>
      </c>
      <c r="J12" s="76">
        <f t="shared" si="1"/>
        <v>10400.507519999999</v>
      </c>
      <c r="K12" s="2"/>
    </row>
    <row r="13" spans="2:13" ht="15.75" x14ac:dyDescent="0.25">
      <c r="B13" s="39">
        <v>2</v>
      </c>
      <c r="C13" s="40"/>
      <c r="D13" s="40"/>
      <c r="E13" s="39" t="s">
        <v>20</v>
      </c>
      <c r="F13" s="40"/>
      <c r="G13" s="41"/>
      <c r="H13" s="79"/>
      <c r="I13" s="79"/>
      <c r="J13" s="80">
        <f>SUM(J14)</f>
        <v>8170.1233599999987</v>
      </c>
      <c r="K13" s="2"/>
    </row>
    <row r="14" spans="2:13" ht="75" x14ac:dyDescent="0.25">
      <c r="B14" s="66" t="s">
        <v>258</v>
      </c>
      <c r="C14" s="67" t="s">
        <v>21</v>
      </c>
      <c r="D14" s="67" t="s">
        <v>12</v>
      </c>
      <c r="E14" s="66" t="s">
        <v>22</v>
      </c>
      <c r="F14" s="67" t="s">
        <v>14</v>
      </c>
      <c r="G14" s="68">
        <v>11.2</v>
      </c>
      <c r="H14" s="76">
        <v>574.39</v>
      </c>
      <c r="I14" s="76">
        <f>H14*1.27</f>
        <v>729.47529999999995</v>
      </c>
      <c r="J14" s="76">
        <f>G14*I14</f>
        <v>8170.1233599999987</v>
      </c>
      <c r="K14" s="2"/>
    </row>
    <row r="15" spans="2:13" ht="15.75" x14ac:dyDescent="0.25">
      <c r="B15" s="39">
        <v>3</v>
      </c>
      <c r="C15" s="40"/>
      <c r="D15" s="40"/>
      <c r="E15" s="39" t="s">
        <v>23</v>
      </c>
      <c r="F15" s="40"/>
      <c r="G15" s="41"/>
      <c r="H15" s="79"/>
      <c r="I15" s="79"/>
      <c r="J15" s="80">
        <f>SUM(J16)</f>
        <v>1503.4767999999999</v>
      </c>
      <c r="K15" s="2"/>
    </row>
    <row r="16" spans="2:13" ht="60" customHeight="1" x14ac:dyDescent="0.25">
      <c r="B16" s="66" t="s">
        <v>259</v>
      </c>
      <c r="C16" s="81">
        <v>39488</v>
      </c>
      <c r="D16" s="67" t="s">
        <v>12</v>
      </c>
      <c r="E16" s="82" t="s">
        <v>412</v>
      </c>
      <c r="F16" s="67" t="s">
        <v>24</v>
      </c>
      <c r="G16" s="68">
        <v>4</v>
      </c>
      <c r="H16" s="76">
        <v>295.95999999999998</v>
      </c>
      <c r="I16" s="76">
        <f>H16*1.27</f>
        <v>375.86919999999998</v>
      </c>
      <c r="J16" s="76">
        <f>G16*I16</f>
        <v>1503.4767999999999</v>
      </c>
      <c r="K16" s="2"/>
      <c r="M16" s="8"/>
    </row>
    <row r="17" spans="2:13" ht="15.75" x14ac:dyDescent="0.25">
      <c r="B17" s="36"/>
      <c r="C17" s="37"/>
      <c r="D17" s="37"/>
      <c r="E17" s="36" t="s">
        <v>25</v>
      </c>
      <c r="F17" s="37"/>
      <c r="G17" s="38"/>
      <c r="H17" s="77"/>
      <c r="I17" s="77"/>
      <c r="J17" s="77">
        <f>SUM(J18+J21+J26+J30+J38+J40+J46+J52+J54+J58+J61+J66+J69+J73+J76+J78+J82+J84+J87+J106+J112)</f>
        <v>404342.56507499999</v>
      </c>
      <c r="K17" s="2"/>
    </row>
    <row r="18" spans="2:13" ht="15.75" x14ac:dyDescent="0.25">
      <c r="B18" s="39">
        <v>4</v>
      </c>
      <c r="C18" s="40"/>
      <c r="D18" s="40"/>
      <c r="E18" s="39" t="s">
        <v>10</v>
      </c>
      <c r="F18" s="40"/>
      <c r="G18" s="41"/>
      <c r="H18" s="79"/>
      <c r="I18" s="79"/>
      <c r="J18" s="80">
        <f>SUM(J19:J20)</f>
        <v>8180.8937220000007</v>
      </c>
      <c r="K18" s="2"/>
    </row>
    <row r="19" spans="2:13" ht="30" x14ac:dyDescent="0.25">
      <c r="B19" s="66" t="s">
        <v>260</v>
      </c>
      <c r="C19" s="67" t="s">
        <v>26</v>
      </c>
      <c r="D19" s="67" t="s">
        <v>12</v>
      </c>
      <c r="E19" s="66" t="s">
        <v>27</v>
      </c>
      <c r="F19" s="67" t="s">
        <v>14</v>
      </c>
      <c r="G19" s="68">
        <v>898.76</v>
      </c>
      <c r="H19" s="76">
        <v>2.21</v>
      </c>
      <c r="I19" s="76">
        <f t="shared" ref="I19:I20" si="2">H19*1.27</f>
        <v>2.8067000000000002</v>
      </c>
      <c r="J19" s="76">
        <f t="shared" ref="J19:J20" si="3">G19*I19</f>
        <v>2522.5496920000001</v>
      </c>
      <c r="K19" s="2"/>
      <c r="M19" s="3"/>
    </row>
    <row r="20" spans="2:13" ht="45" x14ac:dyDescent="0.25">
      <c r="B20" s="66" t="s">
        <v>262</v>
      </c>
      <c r="C20" s="67" t="s">
        <v>28</v>
      </c>
      <c r="D20" s="67" t="s">
        <v>12</v>
      </c>
      <c r="E20" s="66" t="s">
        <v>29</v>
      </c>
      <c r="F20" s="67" t="s">
        <v>30</v>
      </c>
      <c r="G20" s="68">
        <v>122.3</v>
      </c>
      <c r="H20" s="76">
        <v>36.43</v>
      </c>
      <c r="I20" s="76">
        <f t="shared" si="2"/>
        <v>46.266100000000002</v>
      </c>
      <c r="J20" s="76">
        <f t="shared" si="3"/>
        <v>5658.3440300000002</v>
      </c>
      <c r="K20" s="2"/>
    </row>
    <row r="21" spans="2:13" ht="15.75" x14ac:dyDescent="0.25">
      <c r="B21" s="39" t="s">
        <v>261</v>
      </c>
      <c r="C21" s="40"/>
      <c r="D21" s="40"/>
      <c r="E21" s="39" t="s">
        <v>31</v>
      </c>
      <c r="F21" s="40"/>
      <c r="G21" s="41"/>
      <c r="H21" s="79"/>
      <c r="I21" s="79"/>
      <c r="J21" s="80">
        <f>SUM(J22:J25)</f>
        <v>7879.7898030000015</v>
      </c>
      <c r="K21" s="2"/>
    </row>
    <row r="22" spans="2:13" ht="48" customHeight="1" x14ac:dyDescent="0.25">
      <c r="B22" s="66" t="s">
        <v>225</v>
      </c>
      <c r="C22" s="67" t="s">
        <v>32</v>
      </c>
      <c r="D22" s="67" t="s">
        <v>12</v>
      </c>
      <c r="E22" s="66" t="s">
        <v>33</v>
      </c>
      <c r="F22" s="67" t="s">
        <v>30</v>
      </c>
      <c r="G22" s="68">
        <v>90</v>
      </c>
      <c r="H22" s="76">
        <v>35.67</v>
      </c>
      <c r="I22" s="76">
        <f t="shared" ref="I22:I25" si="4">H22*1.27</f>
        <v>45.300900000000006</v>
      </c>
      <c r="J22" s="76">
        <f t="shared" ref="J22:J25" si="5">G22*I22</f>
        <v>4077.0810000000006</v>
      </c>
      <c r="K22" s="2"/>
    </row>
    <row r="23" spans="2:13" ht="45" x14ac:dyDescent="0.25">
      <c r="B23" s="66" t="s">
        <v>226</v>
      </c>
      <c r="C23" s="67" t="s">
        <v>34</v>
      </c>
      <c r="D23" s="67" t="s">
        <v>12</v>
      </c>
      <c r="E23" s="66" t="s">
        <v>35</v>
      </c>
      <c r="F23" s="67" t="s">
        <v>36</v>
      </c>
      <c r="G23" s="68">
        <v>54.13</v>
      </c>
      <c r="H23" s="76">
        <v>6.53</v>
      </c>
      <c r="I23" s="76">
        <f t="shared" si="4"/>
        <v>8.2931000000000008</v>
      </c>
      <c r="J23" s="76">
        <f t="shared" si="5"/>
        <v>448.90550300000007</v>
      </c>
      <c r="K23" s="2"/>
      <c r="M23" s="4"/>
    </row>
    <row r="24" spans="2:13" ht="45" x14ac:dyDescent="0.25">
      <c r="B24" s="66" t="s">
        <v>227</v>
      </c>
      <c r="C24" s="67" t="s">
        <v>37</v>
      </c>
      <c r="D24" s="67" t="s">
        <v>12</v>
      </c>
      <c r="E24" s="66" t="s">
        <v>38</v>
      </c>
      <c r="F24" s="67" t="s">
        <v>36</v>
      </c>
      <c r="G24" s="68">
        <v>163.04</v>
      </c>
      <c r="H24" s="76">
        <v>6.25</v>
      </c>
      <c r="I24" s="76">
        <f t="shared" si="4"/>
        <v>7.9375</v>
      </c>
      <c r="J24" s="76">
        <f t="shared" si="5"/>
        <v>1294.1299999999999</v>
      </c>
      <c r="K24" s="2"/>
    </row>
    <row r="25" spans="2:13" ht="45" x14ac:dyDescent="0.25">
      <c r="B25" s="66" t="s">
        <v>228</v>
      </c>
      <c r="C25" s="67" t="s">
        <v>39</v>
      </c>
      <c r="D25" s="67" t="s">
        <v>12</v>
      </c>
      <c r="E25" s="66" t="s">
        <v>40</v>
      </c>
      <c r="F25" s="67" t="s">
        <v>19</v>
      </c>
      <c r="G25" s="68">
        <v>6.35</v>
      </c>
      <c r="H25" s="76">
        <v>255.4</v>
      </c>
      <c r="I25" s="76">
        <f t="shared" si="4"/>
        <v>324.358</v>
      </c>
      <c r="J25" s="76">
        <f t="shared" si="5"/>
        <v>2059.6732999999999</v>
      </c>
      <c r="K25" s="2"/>
    </row>
    <row r="26" spans="2:13" ht="15.75" x14ac:dyDescent="0.25">
      <c r="B26" s="39" t="s">
        <v>263</v>
      </c>
      <c r="C26" s="40"/>
      <c r="D26" s="40"/>
      <c r="E26" s="39" t="s">
        <v>41</v>
      </c>
      <c r="F26" s="40"/>
      <c r="G26" s="41"/>
      <c r="H26" s="79"/>
      <c r="I26" s="79"/>
      <c r="J26" s="80">
        <f>SUM(J27:J29)</f>
        <v>2686.9241410000004</v>
      </c>
      <c r="K26" s="2"/>
    </row>
    <row r="27" spans="2:13" ht="30" x14ac:dyDescent="0.25">
      <c r="B27" s="66" t="s">
        <v>229</v>
      </c>
      <c r="C27" s="67" t="s">
        <v>42</v>
      </c>
      <c r="D27" s="67" t="s">
        <v>12</v>
      </c>
      <c r="E27" s="66" t="s">
        <v>43</v>
      </c>
      <c r="F27" s="67" t="s">
        <v>19</v>
      </c>
      <c r="G27" s="68">
        <v>4.99</v>
      </c>
      <c r="H27" s="76">
        <v>52.33</v>
      </c>
      <c r="I27" s="76">
        <f t="shared" ref="I27:I29" si="6">H27*1.27</f>
        <v>66.459099999999992</v>
      </c>
      <c r="J27" s="76">
        <f t="shared" ref="J27:J29" si="7">G27*I27</f>
        <v>331.63090899999997</v>
      </c>
      <c r="K27" s="2"/>
    </row>
    <row r="28" spans="2:13" ht="45" x14ac:dyDescent="0.25">
      <c r="B28" s="66" t="s">
        <v>230</v>
      </c>
      <c r="C28" s="67" t="s">
        <v>37</v>
      </c>
      <c r="D28" s="67" t="s">
        <v>12</v>
      </c>
      <c r="E28" s="66" t="s">
        <v>38</v>
      </c>
      <c r="F28" s="67" t="s">
        <v>36</v>
      </c>
      <c r="G28" s="68">
        <v>76.08</v>
      </c>
      <c r="H28" s="76">
        <v>6.25</v>
      </c>
      <c r="I28" s="76">
        <f t="shared" si="6"/>
        <v>7.9375</v>
      </c>
      <c r="J28" s="76">
        <f t="shared" si="7"/>
        <v>603.88499999999999</v>
      </c>
      <c r="K28" s="2"/>
    </row>
    <row r="29" spans="2:13" ht="45" x14ac:dyDescent="0.25">
      <c r="B29" s="66" t="s">
        <v>231</v>
      </c>
      <c r="C29" s="67" t="s">
        <v>48</v>
      </c>
      <c r="D29" s="67" t="s">
        <v>12</v>
      </c>
      <c r="E29" s="66" t="s">
        <v>49</v>
      </c>
      <c r="F29" s="67" t="s">
        <v>19</v>
      </c>
      <c r="G29" s="68">
        <v>4.9800000000000004</v>
      </c>
      <c r="H29" s="76">
        <v>276.92</v>
      </c>
      <c r="I29" s="76">
        <f t="shared" si="6"/>
        <v>351.6884</v>
      </c>
      <c r="J29" s="76">
        <f t="shared" si="7"/>
        <v>1751.4082320000002</v>
      </c>
      <c r="K29" s="2"/>
    </row>
    <row r="30" spans="2:13" ht="15.75" x14ac:dyDescent="0.25">
      <c r="B30" s="39" t="s">
        <v>264</v>
      </c>
      <c r="C30" s="40"/>
      <c r="D30" s="40"/>
      <c r="E30" s="39" t="s">
        <v>53</v>
      </c>
      <c r="F30" s="40"/>
      <c r="G30" s="41"/>
      <c r="H30" s="79"/>
      <c r="I30" s="79"/>
      <c r="J30" s="80">
        <f>SUM(J31:J37)</f>
        <v>14011.832783999998</v>
      </c>
      <c r="K30" s="2"/>
    </row>
    <row r="31" spans="2:13" ht="30" x14ac:dyDescent="0.25">
      <c r="B31" s="66" t="s">
        <v>232</v>
      </c>
      <c r="C31" s="67" t="s">
        <v>42</v>
      </c>
      <c r="D31" s="67" t="s">
        <v>12</v>
      </c>
      <c r="E31" s="66" t="s">
        <v>43</v>
      </c>
      <c r="F31" s="67" t="s">
        <v>19</v>
      </c>
      <c r="G31" s="68">
        <v>14.61</v>
      </c>
      <c r="H31" s="76">
        <v>52.33</v>
      </c>
      <c r="I31" s="76">
        <f t="shared" ref="I31:I37" si="8">H31*1.27</f>
        <v>66.459099999999992</v>
      </c>
      <c r="J31" s="76">
        <f t="shared" ref="J31:J37" si="9">G31*I31</f>
        <v>970.96745099999987</v>
      </c>
      <c r="K31" s="2"/>
    </row>
    <row r="32" spans="2:13" ht="48" customHeight="1" x14ac:dyDescent="0.25">
      <c r="B32" s="66" t="s">
        <v>233</v>
      </c>
      <c r="C32" s="67" t="s">
        <v>44</v>
      </c>
      <c r="D32" s="67" t="s">
        <v>12</v>
      </c>
      <c r="E32" s="66" t="s">
        <v>45</v>
      </c>
      <c r="F32" s="67" t="s">
        <v>19</v>
      </c>
      <c r="G32" s="68">
        <v>2.44</v>
      </c>
      <c r="H32" s="76">
        <v>198.66</v>
      </c>
      <c r="I32" s="76">
        <f t="shared" si="8"/>
        <v>252.29820000000001</v>
      </c>
      <c r="J32" s="76">
        <f t="shared" si="9"/>
        <v>615.60760800000003</v>
      </c>
      <c r="K32" s="2"/>
    </row>
    <row r="33" spans="2:11" ht="45" x14ac:dyDescent="0.25">
      <c r="B33" s="66" t="s">
        <v>234</v>
      </c>
      <c r="C33" s="67" t="s">
        <v>46</v>
      </c>
      <c r="D33" s="67" t="s">
        <v>12</v>
      </c>
      <c r="E33" s="66" t="s">
        <v>47</v>
      </c>
      <c r="F33" s="67" t="s">
        <v>14</v>
      </c>
      <c r="G33" s="68">
        <v>121.77</v>
      </c>
      <c r="H33" s="76">
        <v>19.600000000000001</v>
      </c>
      <c r="I33" s="76">
        <f t="shared" si="8"/>
        <v>24.892000000000003</v>
      </c>
      <c r="J33" s="76">
        <f t="shared" si="9"/>
        <v>3031.0988400000001</v>
      </c>
      <c r="K33" s="2"/>
    </row>
    <row r="34" spans="2:11" ht="45" x14ac:dyDescent="0.25">
      <c r="B34" s="66" t="s">
        <v>235</v>
      </c>
      <c r="C34" s="67" t="s">
        <v>34</v>
      </c>
      <c r="D34" s="67" t="s">
        <v>12</v>
      </c>
      <c r="E34" s="66" t="s">
        <v>35</v>
      </c>
      <c r="F34" s="67" t="s">
        <v>36</v>
      </c>
      <c r="G34" s="68">
        <v>259.02999999999997</v>
      </c>
      <c r="H34" s="76">
        <v>6.53</v>
      </c>
      <c r="I34" s="76">
        <f t="shared" si="8"/>
        <v>8.2931000000000008</v>
      </c>
      <c r="J34" s="76">
        <f t="shared" si="9"/>
        <v>2148.161693</v>
      </c>
      <c r="K34" s="2"/>
    </row>
    <row r="35" spans="2:11" ht="45" x14ac:dyDescent="0.25">
      <c r="B35" s="66" t="s">
        <v>236</v>
      </c>
      <c r="C35" s="67" t="s">
        <v>37</v>
      </c>
      <c r="D35" s="67" t="s">
        <v>12</v>
      </c>
      <c r="E35" s="66" t="s">
        <v>38</v>
      </c>
      <c r="F35" s="67" t="s">
        <v>36</v>
      </c>
      <c r="G35" s="68">
        <v>373.1</v>
      </c>
      <c r="H35" s="76">
        <v>6.25</v>
      </c>
      <c r="I35" s="76">
        <f t="shared" si="8"/>
        <v>7.9375</v>
      </c>
      <c r="J35" s="76">
        <f t="shared" si="9"/>
        <v>2961.4812500000003</v>
      </c>
      <c r="K35" s="2"/>
    </row>
    <row r="36" spans="2:11" ht="45" x14ac:dyDescent="0.25">
      <c r="B36" s="66" t="s">
        <v>237</v>
      </c>
      <c r="C36" s="67" t="s">
        <v>54</v>
      </c>
      <c r="D36" s="67" t="s">
        <v>12</v>
      </c>
      <c r="E36" s="66" t="s">
        <v>55</v>
      </c>
      <c r="F36" s="67" t="s">
        <v>36</v>
      </c>
      <c r="G36" s="68">
        <v>11.55</v>
      </c>
      <c r="H36" s="76">
        <v>4.8600000000000003</v>
      </c>
      <c r="I36" s="76">
        <f t="shared" si="8"/>
        <v>6.1722000000000001</v>
      </c>
      <c r="J36" s="76">
        <f t="shared" si="9"/>
        <v>71.288910000000001</v>
      </c>
      <c r="K36" s="2"/>
    </row>
    <row r="37" spans="2:11" ht="45" x14ac:dyDescent="0.25">
      <c r="B37" s="66" t="s">
        <v>238</v>
      </c>
      <c r="C37" s="67" t="s">
        <v>48</v>
      </c>
      <c r="D37" s="67" t="s">
        <v>12</v>
      </c>
      <c r="E37" s="66" t="s">
        <v>49</v>
      </c>
      <c r="F37" s="67" t="s">
        <v>19</v>
      </c>
      <c r="G37" s="68">
        <v>11.98</v>
      </c>
      <c r="H37" s="76">
        <v>276.92</v>
      </c>
      <c r="I37" s="76">
        <f t="shared" si="8"/>
        <v>351.6884</v>
      </c>
      <c r="J37" s="76">
        <f t="shared" si="9"/>
        <v>4213.2270319999998</v>
      </c>
      <c r="K37" s="2"/>
    </row>
    <row r="38" spans="2:11" ht="15.75" x14ac:dyDescent="0.25">
      <c r="B38" s="39" t="s">
        <v>265</v>
      </c>
      <c r="C38" s="40"/>
      <c r="D38" s="40"/>
      <c r="E38" s="39" t="s">
        <v>56</v>
      </c>
      <c r="F38" s="40"/>
      <c r="G38" s="41"/>
      <c r="H38" s="79"/>
      <c r="I38" s="79"/>
      <c r="J38" s="80">
        <f>J39</f>
        <v>38169.392800000001</v>
      </c>
      <c r="K38" s="2"/>
    </row>
    <row r="39" spans="2:11" ht="60" customHeight="1" x14ac:dyDescent="0.25">
      <c r="B39" s="66" t="s">
        <v>239</v>
      </c>
      <c r="C39" s="67" t="s">
        <v>57</v>
      </c>
      <c r="D39" s="67" t="s">
        <v>12</v>
      </c>
      <c r="E39" s="66" t="s">
        <v>58</v>
      </c>
      <c r="F39" s="67" t="s">
        <v>14</v>
      </c>
      <c r="G39" s="68">
        <v>557.6</v>
      </c>
      <c r="H39" s="76">
        <v>53.9</v>
      </c>
      <c r="I39" s="76">
        <f>H39*1.27</f>
        <v>68.453000000000003</v>
      </c>
      <c r="J39" s="76">
        <f>G39*I39</f>
        <v>38169.392800000001</v>
      </c>
      <c r="K39" s="2"/>
    </row>
    <row r="40" spans="2:11" ht="15.75" x14ac:dyDescent="0.25">
      <c r="B40" s="42" t="s">
        <v>266</v>
      </c>
      <c r="C40" s="43"/>
      <c r="D40" s="43"/>
      <c r="E40" s="42" t="s">
        <v>59</v>
      </c>
      <c r="F40" s="43"/>
      <c r="G40" s="44"/>
      <c r="H40" s="83"/>
      <c r="I40" s="83"/>
      <c r="J40" s="83">
        <f>SUM(J41:J45)</f>
        <v>5896.2278569999999</v>
      </c>
      <c r="K40" s="2"/>
    </row>
    <row r="41" spans="2:11" ht="45" x14ac:dyDescent="0.25">
      <c r="B41" s="66" t="s">
        <v>240</v>
      </c>
      <c r="C41" s="67" t="s">
        <v>46</v>
      </c>
      <c r="D41" s="67" t="s">
        <v>12</v>
      </c>
      <c r="E41" s="66" t="s">
        <v>47</v>
      </c>
      <c r="F41" s="67" t="s">
        <v>14</v>
      </c>
      <c r="G41" s="68">
        <v>57.6</v>
      </c>
      <c r="H41" s="76">
        <v>19.600000000000001</v>
      </c>
      <c r="I41" s="76">
        <f t="shared" ref="I41:I45" si="10">H41*1.27</f>
        <v>24.892000000000003</v>
      </c>
      <c r="J41" s="76">
        <f t="shared" ref="J41:J45" si="11">G41*I41</f>
        <v>1433.7792000000002</v>
      </c>
      <c r="K41" s="2"/>
    </row>
    <row r="42" spans="2:11" ht="45" x14ac:dyDescent="0.25">
      <c r="B42" s="66" t="s">
        <v>241</v>
      </c>
      <c r="C42" s="67" t="s">
        <v>34</v>
      </c>
      <c r="D42" s="67" t="s">
        <v>12</v>
      </c>
      <c r="E42" s="66" t="s">
        <v>35</v>
      </c>
      <c r="F42" s="67" t="s">
        <v>36</v>
      </c>
      <c r="G42" s="68">
        <v>93.31</v>
      </c>
      <c r="H42" s="76">
        <v>6.53</v>
      </c>
      <c r="I42" s="76">
        <f t="shared" si="10"/>
        <v>8.2931000000000008</v>
      </c>
      <c r="J42" s="76">
        <f t="shared" si="11"/>
        <v>773.82916100000011</v>
      </c>
      <c r="K42" s="2"/>
    </row>
    <row r="43" spans="2:11" ht="45" x14ac:dyDescent="0.25">
      <c r="B43" s="66" t="s">
        <v>242</v>
      </c>
      <c r="C43" s="67" t="s">
        <v>60</v>
      </c>
      <c r="D43" s="67" t="s">
        <v>12</v>
      </c>
      <c r="E43" s="66" t="s">
        <v>61</v>
      </c>
      <c r="F43" s="67" t="s">
        <v>36</v>
      </c>
      <c r="G43" s="68">
        <v>262.8</v>
      </c>
      <c r="H43" s="76">
        <v>5.71</v>
      </c>
      <c r="I43" s="76">
        <f t="shared" si="10"/>
        <v>7.2517000000000005</v>
      </c>
      <c r="J43" s="76">
        <f t="shared" si="11"/>
        <v>1905.7467600000002</v>
      </c>
      <c r="K43" s="2"/>
    </row>
    <row r="44" spans="2:11" ht="45" x14ac:dyDescent="0.25">
      <c r="B44" s="66" t="s">
        <v>243</v>
      </c>
      <c r="C44" s="67" t="s">
        <v>48</v>
      </c>
      <c r="D44" s="67" t="s">
        <v>12</v>
      </c>
      <c r="E44" s="66" t="s">
        <v>49</v>
      </c>
      <c r="F44" s="67" t="s">
        <v>19</v>
      </c>
      <c r="G44" s="68">
        <v>5.04</v>
      </c>
      <c r="H44" s="76">
        <v>276.92</v>
      </c>
      <c r="I44" s="76">
        <f t="shared" si="10"/>
        <v>351.6884</v>
      </c>
      <c r="J44" s="76">
        <f t="shared" si="11"/>
        <v>1772.509536</v>
      </c>
      <c r="K44" s="2"/>
    </row>
    <row r="45" spans="2:11" ht="45" x14ac:dyDescent="0.25">
      <c r="B45" s="66" t="s">
        <v>244</v>
      </c>
      <c r="C45" s="67" t="s">
        <v>50</v>
      </c>
      <c r="D45" s="67" t="s">
        <v>12</v>
      </c>
      <c r="E45" s="66" t="s">
        <v>51</v>
      </c>
      <c r="F45" s="67" t="s">
        <v>52</v>
      </c>
      <c r="G45" s="68">
        <v>2</v>
      </c>
      <c r="H45" s="76">
        <v>4.08</v>
      </c>
      <c r="I45" s="76">
        <f t="shared" si="10"/>
        <v>5.1816000000000004</v>
      </c>
      <c r="J45" s="76">
        <f t="shared" si="11"/>
        <v>10.363200000000001</v>
      </c>
      <c r="K45" s="2"/>
    </row>
    <row r="46" spans="2:11" ht="15.75" x14ac:dyDescent="0.25">
      <c r="B46" s="42" t="s">
        <v>267</v>
      </c>
      <c r="C46" s="43"/>
      <c r="D46" s="43"/>
      <c r="E46" s="42" t="s">
        <v>62</v>
      </c>
      <c r="F46" s="43"/>
      <c r="G46" s="44"/>
      <c r="H46" s="83"/>
      <c r="I46" s="83"/>
      <c r="J46" s="83">
        <f>SUM(J47:J51)</f>
        <v>14532.457219</v>
      </c>
      <c r="K46" s="2"/>
    </row>
    <row r="47" spans="2:11" ht="45" x14ac:dyDescent="0.25">
      <c r="B47" s="66" t="s">
        <v>245</v>
      </c>
      <c r="C47" s="67" t="s">
        <v>46</v>
      </c>
      <c r="D47" s="67" t="s">
        <v>12</v>
      </c>
      <c r="E47" s="66" t="s">
        <v>47</v>
      </c>
      <c r="F47" s="67" t="s">
        <v>14</v>
      </c>
      <c r="G47" s="68">
        <v>146.12</v>
      </c>
      <c r="H47" s="76">
        <v>19.600000000000001</v>
      </c>
      <c r="I47" s="76">
        <f t="shared" ref="I47:I50" si="12">H47*1.27</f>
        <v>24.892000000000003</v>
      </c>
      <c r="J47" s="76">
        <f t="shared" ref="J47:J51" si="13">G47*I47</f>
        <v>3637.2190400000004</v>
      </c>
      <c r="K47" s="2"/>
    </row>
    <row r="48" spans="2:11" ht="45" x14ac:dyDescent="0.25">
      <c r="B48" s="66" t="s">
        <v>246</v>
      </c>
      <c r="C48" s="67" t="s">
        <v>34</v>
      </c>
      <c r="D48" s="67" t="s">
        <v>12</v>
      </c>
      <c r="E48" s="66" t="s">
        <v>35</v>
      </c>
      <c r="F48" s="67" t="s">
        <v>36</v>
      </c>
      <c r="G48" s="68">
        <v>259.02999999999997</v>
      </c>
      <c r="H48" s="76">
        <v>6.53</v>
      </c>
      <c r="I48" s="76">
        <f t="shared" si="12"/>
        <v>8.2931000000000008</v>
      </c>
      <c r="J48" s="76">
        <f t="shared" si="13"/>
        <v>2148.161693</v>
      </c>
      <c r="K48" s="2"/>
    </row>
    <row r="49" spans="2:11" ht="45" x14ac:dyDescent="0.25">
      <c r="B49" s="66" t="s">
        <v>247</v>
      </c>
      <c r="C49" s="67" t="s">
        <v>60</v>
      </c>
      <c r="D49" s="67" t="s">
        <v>12</v>
      </c>
      <c r="E49" s="66" t="s">
        <v>61</v>
      </c>
      <c r="F49" s="67" t="s">
        <v>36</v>
      </c>
      <c r="G49" s="68">
        <v>584.5</v>
      </c>
      <c r="H49" s="76">
        <v>5.71</v>
      </c>
      <c r="I49" s="76">
        <f t="shared" si="12"/>
        <v>7.2517000000000005</v>
      </c>
      <c r="J49" s="76">
        <f t="shared" si="13"/>
        <v>4238.6186500000003</v>
      </c>
      <c r="K49" s="2"/>
    </row>
    <row r="50" spans="2:11" ht="45" x14ac:dyDescent="0.25">
      <c r="B50" s="66" t="s">
        <v>248</v>
      </c>
      <c r="C50" s="67" t="s">
        <v>48</v>
      </c>
      <c r="D50" s="67" t="s">
        <v>12</v>
      </c>
      <c r="E50" s="66" t="s">
        <v>49</v>
      </c>
      <c r="F50" s="67" t="s">
        <v>19</v>
      </c>
      <c r="G50" s="68">
        <v>12.79</v>
      </c>
      <c r="H50" s="76">
        <v>276.92</v>
      </c>
      <c r="I50" s="76">
        <f t="shared" si="12"/>
        <v>351.6884</v>
      </c>
      <c r="J50" s="76">
        <f t="shared" si="13"/>
        <v>4498.0946359999998</v>
      </c>
      <c r="K50" s="2"/>
    </row>
    <row r="51" spans="2:11" ht="45" x14ac:dyDescent="0.25">
      <c r="B51" s="66" t="s">
        <v>249</v>
      </c>
      <c r="C51" s="67" t="s">
        <v>50</v>
      </c>
      <c r="D51" s="67" t="s">
        <v>12</v>
      </c>
      <c r="E51" s="66" t="s">
        <v>51</v>
      </c>
      <c r="F51" s="67" t="s">
        <v>52</v>
      </c>
      <c r="G51" s="68">
        <v>2</v>
      </c>
      <c r="H51" s="76">
        <v>4.08</v>
      </c>
      <c r="I51" s="76">
        <f>H51*1.27</f>
        <v>5.1816000000000004</v>
      </c>
      <c r="J51" s="76">
        <f t="shared" si="13"/>
        <v>10.363200000000001</v>
      </c>
      <c r="K51" s="2"/>
    </row>
    <row r="52" spans="2:11" ht="15.75" x14ac:dyDescent="0.25">
      <c r="B52" s="42" t="s">
        <v>268</v>
      </c>
      <c r="C52" s="43"/>
      <c r="D52" s="43"/>
      <c r="E52" s="42" t="s">
        <v>63</v>
      </c>
      <c r="F52" s="43"/>
      <c r="G52" s="44"/>
      <c r="H52" s="83"/>
      <c r="I52" s="83"/>
      <c r="J52" s="83">
        <f>SUM(J53)</f>
        <v>21898.351936000003</v>
      </c>
      <c r="K52" s="2"/>
    </row>
    <row r="53" spans="2:11" ht="48" customHeight="1" x14ac:dyDescent="0.25">
      <c r="B53" s="66" t="s">
        <v>250</v>
      </c>
      <c r="C53" s="67" t="s">
        <v>64</v>
      </c>
      <c r="D53" s="67" t="s">
        <v>12</v>
      </c>
      <c r="E53" s="66" t="s">
        <v>65</v>
      </c>
      <c r="F53" s="67" t="s">
        <v>14</v>
      </c>
      <c r="G53" s="68">
        <v>243.68</v>
      </c>
      <c r="H53" s="76">
        <v>70.760000000000005</v>
      </c>
      <c r="I53" s="76">
        <f>H53*1.27</f>
        <v>89.865200000000002</v>
      </c>
      <c r="J53" s="76">
        <f>G53*I53</f>
        <v>21898.351936000003</v>
      </c>
      <c r="K53" s="2"/>
    </row>
    <row r="54" spans="2:11" s="73" customFormat="1" ht="48" customHeight="1" x14ac:dyDescent="0.25">
      <c r="B54" s="42">
        <v>5</v>
      </c>
      <c r="C54" s="43"/>
      <c r="D54" s="43"/>
      <c r="E54" s="42" t="s">
        <v>424</v>
      </c>
      <c r="F54" s="43"/>
      <c r="G54" s="44"/>
      <c r="H54" s="83"/>
      <c r="I54" s="84"/>
      <c r="J54" s="85">
        <f>SUM(J55:J57)</f>
        <v>2288.83464</v>
      </c>
      <c r="K54" s="2"/>
    </row>
    <row r="55" spans="2:11" s="73" customFormat="1" ht="48" customHeight="1" x14ac:dyDescent="0.25">
      <c r="B55" s="66" t="s">
        <v>434</v>
      </c>
      <c r="C55" s="74" t="s">
        <v>425</v>
      </c>
      <c r="D55" s="67" t="s">
        <v>12</v>
      </c>
      <c r="E55" s="75" t="s">
        <v>426</v>
      </c>
      <c r="F55" s="74" t="s">
        <v>30</v>
      </c>
      <c r="G55" s="86">
        <v>28.2</v>
      </c>
      <c r="H55" s="76">
        <v>26.1</v>
      </c>
      <c r="I55" s="76">
        <f t="shared" ref="I55:I57" si="14">H55*1.27</f>
        <v>33.147000000000006</v>
      </c>
      <c r="J55" s="76">
        <f t="shared" ref="J55:J57" si="15">G55*I55</f>
        <v>934.74540000000013</v>
      </c>
      <c r="K55" s="2"/>
    </row>
    <row r="56" spans="2:11" s="73" customFormat="1" ht="48" customHeight="1" x14ac:dyDescent="0.25">
      <c r="B56" s="66" t="s">
        <v>435</v>
      </c>
      <c r="C56" s="74" t="s">
        <v>427</v>
      </c>
      <c r="D56" s="67" t="s">
        <v>12</v>
      </c>
      <c r="E56" s="75" t="s">
        <v>428</v>
      </c>
      <c r="F56" s="74" t="s">
        <v>30</v>
      </c>
      <c r="G56" s="86">
        <v>28.2</v>
      </c>
      <c r="H56" s="76">
        <v>22.91</v>
      </c>
      <c r="I56" s="76">
        <f t="shared" si="14"/>
        <v>29.095700000000001</v>
      </c>
      <c r="J56" s="76">
        <f t="shared" si="15"/>
        <v>820.49874</v>
      </c>
      <c r="K56" s="2"/>
    </row>
    <row r="57" spans="2:11" s="73" customFormat="1" ht="48" customHeight="1" x14ac:dyDescent="0.25">
      <c r="B57" s="66" t="s">
        <v>436</v>
      </c>
      <c r="C57" s="74" t="s">
        <v>429</v>
      </c>
      <c r="D57" s="67" t="s">
        <v>12</v>
      </c>
      <c r="E57" s="75" t="s">
        <v>430</v>
      </c>
      <c r="F57" s="74" t="s">
        <v>30</v>
      </c>
      <c r="G57" s="86">
        <v>15</v>
      </c>
      <c r="H57" s="76">
        <v>28.01</v>
      </c>
      <c r="I57" s="76">
        <f t="shared" si="14"/>
        <v>35.572700000000005</v>
      </c>
      <c r="J57" s="76">
        <f t="shared" si="15"/>
        <v>533.59050000000002</v>
      </c>
      <c r="K57" s="2"/>
    </row>
    <row r="58" spans="2:11" ht="15.75" x14ac:dyDescent="0.25">
      <c r="B58" s="42">
        <v>6</v>
      </c>
      <c r="C58" s="43"/>
      <c r="D58" s="43"/>
      <c r="E58" s="42" t="s">
        <v>66</v>
      </c>
      <c r="F58" s="43"/>
      <c r="G58" s="44"/>
      <c r="H58" s="83"/>
      <c r="I58" s="83"/>
      <c r="J58" s="83">
        <f>SUM(J59:J60)</f>
        <v>56983.174197</v>
      </c>
      <c r="K58" s="2"/>
    </row>
    <row r="59" spans="2:11" ht="48" customHeight="1" x14ac:dyDescent="0.25">
      <c r="B59" s="66" t="s">
        <v>269</v>
      </c>
      <c r="C59" s="67">
        <v>92541</v>
      </c>
      <c r="D59" s="67" t="s">
        <v>12</v>
      </c>
      <c r="E59" s="87" t="s">
        <v>408</v>
      </c>
      <c r="F59" s="67" t="s">
        <v>14</v>
      </c>
      <c r="G59" s="68">
        <v>457.89</v>
      </c>
      <c r="H59" s="76">
        <v>65.11</v>
      </c>
      <c r="I59" s="76">
        <f t="shared" ref="I59:I60" si="16">H59*1.27</f>
        <v>82.689700000000002</v>
      </c>
      <c r="J59" s="76">
        <f t="shared" ref="J59:J60" si="17">G59*I59</f>
        <v>37862.786733000001</v>
      </c>
      <c r="K59" s="2"/>
    </row>
    <row r="60" spans="2:11" ht="45" x14ac:dyDescent="0.25">
      <c r="B60" s="66" t="s">
        <v>270</v>
      </c>
      <c r="C60" s="67" t="s">
        <v>67</v>
      </c>
      <c r="D60" s="67" t="s">
        <v>12</v>
      </c>
      <c r="E60" s="66" t="s">
        <v>68</v>
      </c>
      <c r="F60" s="67" t="s">
        <v>14</v>
      </c>
      <c r="G60" s="68">
        <v>457.89</v>
      </c>
      <c r="H60" s="76">
        <v>32.880000000000003</v>
      </c>
      <c r="I60" s="76">
        <f t="shared" si="16"/>
        <v>41.757600000000004</v>
      </c>
      <c r="J60" s="76">
        <f t="shared" si="17"/>
        <v>19120.387463999999</v>
      </c>
      <c r="K60" s="2"/>
    </row>
    <row r="61" spans="2:11" ht="15.75" x14ac:dyDescent="0.25">
      <c r="B61" s="42">
        <v>7</v>
      </c>
      <c r="C61" s="43"/>
      <c r="D61" s="43"/>
      <c r="E61" s="42" t="s">
        <v>69</v>
      </c>
      <c r="F61" s="43"/>
      <c r="G61" s="44"/>
      <c r="H61" s="83"/>
      <c r="I61" s="83"/>
      <c r="J61" s="83">
        <f>SUM(J62:J65)</f>
        <v>75393.036411999987</v>
      </c>
      <c r="K61" s="2"/>
    </row>
    <row r="62" spans="2:11" ht="60" x14ac:dyDescent="0.25">
      <c r="B62" s="66" t="s">
        <v>271</v>
      </c>
      <c r="C62" s="67" t="s">
        <v>70</v>
      </c>
      <c r="D62" s="67" t="s">
        <v>12</v>
      </c>
      <c r="E62" s="66" t="s">
        <v>71</v>
      </c>
      <c r="F62" s="67" t="s">
        <v>14</v>
      </c>
      <c r="G62" s="68">
        <v>1902.61</v>
      </c>
      <c r="H62" s="76">
        <v>4.33</v>
      </c>
      <c r="I62" s="76">
        <f t="shared" ref="I62:I65" si="18">H62*1.27</f>
        <v>5.4991000000000003</v>
      </c>
      <c r="J62" s="76">
        <f t="shared" ref="J62:J65" si="19">G62*I62</f>
        <v>10462.642651</v>
      </c>
      <c r="K62" s="2"/>
    </row>
    <row r="63" spans="2:11" ht="90" x14ac:dyDescent="0.25">
      <c r="B63" s="66" t="s">
        <v>272</v>
      </c>
      <c r="C63" s="67" t="s">
        <v>72</v>
      </c>
      <c r="D63" s="67" t="s">
        <v>12</v>
      </c>
      <c r="E63" s="66" t="s">
        <v>73</v>
      </c>
      <c r="F63" s="67" t="s">
        <v>14</v>
      </c>
      <c r="G63" s="68">
        <v>163.05000000000001</v>
      </c>
      <c r="H63" s="76">
        <v>14.38</v>
      </c>
      <c r="I63" s="76">
        <f t="shared" si="18"/>
        <v>18.262600000000003</v>
      </c>
      <c r="J63" s="76">
        <f t="shared" si="19"/>
        <v>2977.7169300000005</v>
      </c>
      <c r="K63" s="2"/>
    </row>
    <row r="64" spans="2:11" ht="60" x14ac:dyDescent="0.25">
      <c r="B64" s="66" t="s">
        <v>437</v>
      </c>
      <c r="C64" s="67" t="s">
        <v>74</v>
      </c>
      <c r="D64" s="67" t="s">
        <v>12</v>
      </c>
      <c r="E64" s="66" t="s">
        <v>75</v>
      </c>
      <c r="F64" s="67" t="s">
        <v>14</v>
      </c>
      <c r="G64" s="68">
        <v>163.05000000000001</v>
      </c>
      <c r="H64" s="76">
        <v>47.61</v>
      </c>
      <c r="I64" s="76">
        <f t="shared" si="18"/>
        <v>60.464700000000001</v>
      </c>
      <c r="J64" s="76">
        <f t="shared" si="19"/>
        <v>9858.7693350000009</v>
      </c>
      <c r="K64" s="2"/>
    </row>
    <row r="65" spans="2:11" ht="75" x14ac:dyDescent="0.25">
      <c r="B65" s="66" t="s">
        <v>438</v>
      </c>
      <c r="C65" s="67" t="s">
        <v>76</v>
      </c>
      <c r="D65" s="67" t="s">
        <v>12</v>
      </c>
      <c r="E65" s="66" t="s">
        <v>77</v>
      </c>
      <c r="F65" s="67" t="s">
        <v>14</v>
      </c>
      <c r="G65" s="68">
        <f>G62-G63</f>
        <v>1739.56</v>
      </c>
      <c r="H65" s="76">
        <v>23.58</v>
      </c>
      <c r="I65" s="76">
        <f t="shared" si="18"/>
        <v>29.946599999999997</v>
      </c>
      <c r="J65" s="76">
        <f t="shared" si="19"/>
        <v>52093.907495999993</v>
      </c>
      <c r="K65" s="2"/>
    </row>
    <row r="66" spans="2:11" ht="15.75" x14ac:dyDescent="0.25">
      <c r="B66" s="45">
        <v>8</v>
      </c>
      <c r="C66" s="46"/>
      <c r="D66" s="46"/>
      <c r="E66" s="45" t="s">
        <v>78</v>
      </c>
      <c r="F66" s="46"/>
      <c r="G66" s="47"/>
      <c r="H66" s="85"/>
      <c r="I66" s="85"/>
      <c r="J66" s="85">
        <f>SUM(J67:J68)</f>
        <v>23619.460126999998</v>
      </c>
      <c r="K66" s="2"/>
    </row>
    <row r="67" spans="2:11" ht="48" customHeight="1" x14ac:dyDescent="0.25">
      <c r="B67" s="66" t="s">
        <v>273</v>
      </c>
      <c r="C67" s="67" t="s">
        <v>79</v>
      </c>
      <c r="D67" s="67" t="s">
        <v>12</v>
      </c>
      <c r="E67" s="66" t="s">
        <v>80</v>
      </c>
      <c r="F67" s="67" t="s">
        <v>14</v>
      </c>
      <c r="G67" s="68">
        <v>338.33</v>
      </c>
      <c r="H67" s="76">
        <v>32.200000000000003</v>
      </c>
      <c r="I67" s="76">
        <f t="shared" ref="I67:I68" si="20">H67*1.27</f>
        <v>40.894000000000005</v>
      </c>
      <c r="J67" s="76">
        <f t="shared" ref="J67:J68" si="21">G67*I67</f>
        <v>13835.667020000001</v>
      </c>
      <c r="K67" s="2"/>
    </row>
    <row r="68" spans="2:11" ht="45" x14ac:dyDescent="0.25">
      <c r="B68" s="66" t="s">
        <v>420</v>
      </c>
      <c r="C68" s="67" t="s">
        <v>81</v>
      </c>
      <c r="D68" s="67" t="s">
        <v>12</v>
      </c>
      <c r="E68" s="66" t="s">
        <v>82</v>
      </c>
      <c r="F68" s="67" t="s">
        <v>14</v>
      </c>
      <c r="G68" s="68">
        <v>338.33</v>
      </c>
      <c r="H68" s="76">
        <v>22.77</v>
      </c>
      <c r="I68" s="76">
        <f t="shared" si="20"/>
        <v>28.917899999999999</v>
      </c>
      <c r="J68" s="76">
        <f t="shared" si="21"/>
        <v>9783.7931069999995</v>
      </c>
      <c r="K68" s="2"/>
    </row>
    <row r="69" spans="2:11" ht="24" customHeight="1" x14ac:dyDescent="0.25">
      <c r="B69" s="45">
        <v>9</v>
      </c>
      <c r="C69" s="48"/>
      <c r="D69" s="48"/>
      <c r="E69" s="45" t="s">
        <v>20</v>
      </c>
      <c r="F69" s="48"/>
      <c r="G69" s="49"/>
      <c r="H69" s="84"/>
      <c r="I69" s="84"/>
      <c r="J69" s="85">
        <f>SUM(J70:J72)</f>
        <v>14643.375843999998</v>
      </c>
      <c r="K69" s="2"/>
    </row>
    <row r="70" spans="2:11" ht="75" x14ac:dyDescent="0.25">
      <c r="B70" s="66" t="s">
        <v>274</v>
      </c>
      <c r="C70" s="67" t="s">
        <v>83</v>
      </c>
      <c r="D70" s="67" t="s">
        <v>12</v>
      </c>
      <c r="E70" s="66" t="s">
        <v>84</v>
      </c>
      <c r="F70" s="67" t="s">
        <v>14</v>
      </c>
      <c r="G70" s="68">
        <v>18.2</v>
      </c>
      <c r="H70" s="76">
        <v>528.80999999999995</v>
      </c>
      <c r="I70" s="76">
        <f>H70*1.27</f>
        <v>671.5886999999999</v>
      </c>
      <c r="J70" s="76">
        <f>G70*I70</f>
        <v>12222.914339999998</v>
      </c>
      <c r="K70" s="2"/>
    </row>
    <row r="71" spans="2:11" s="71" customFormat="1" ht="45" x14ac:dyDescent="0.25">
      <c r="B71" s="66" t="s">
        <v>423</v>
      </c>
      <c r="C71" s="74" t="s">
        <v>415</v>
      </c>
      <c r="D71" s="67" t="s">
        <v>87</v>
      </c>
      <c r="E71" s="75" t="s">
        <v>414</v>
      </c>
      <c r="F71" s="74" t="s">
        <v>24</v>
      </c>
      <c r="G71" s="86">
        <v>1</v>
      </c>
      <c r="H71" s="76">
        <v>473.86</v>
      </c>
      <c r="I71" s="76">
        <f>H71*1.27</f>
        <v>601.80219999999997</v>
      </c>
      <c r="J71" s="76">
        <f>G71*I71</f>
        <v>601.80219999999997</v>
      </c>
      <c r="K71" s="2"/>
    </row>
    <row r="72" spans="2:11" s="71" customFormat="1" ht="75" x14ac:dyDescent="0.25">
      <c r="B72" s="66" t="s">
        <v>439</v>
      </c>
      <c r="C72" s="74" t="s">
        <v>416</v>
      </c>
      <c r="D72" s="67" t="s">
        <v>87</v>
      </c>
      <c r="E72" s="75" t="s">
        <v>417</v>
      </c>
      <c r="F72" s="74" t="s">
        <v>14</v>
      </c>
      <c r="G72" s="86">
        <v>5.04</v>
      </c>
      <c r="H72" s="76">
        <v>284.13</v>
      </c>
      <c r="I72" s="76">
        <f>H72*1.27</f>
        <v>360.8451</v>
      </c>
      <c r="J72" s="76">
        <f>G72*I72</f>
        <v>1818.659304</v>
      </c>
      <c r="K72" s="2"/>
    </row>
    <row r="73" spans="2:11" ht="15.75" x14ac:dyDescent="0.25">
      <c r="B73" s="42">
        <v>10</v>
      </c>
      <c r="C73" s="43"/>
      <c r="D73" s="43"/>
      <c r="E73" s="42" t="s">
        <v>23</v>
      </c>
      <c r="F73" s="43"/>
      <c r="G73" s="44"/>
      <c r="H73" s="83"/>
      <c r="I73" s="83"/>
      <c r="J73" s="83">
        <f>SUM(J74:J75)</f>
        <v>4975.4027999999998</v>
      </c>
      <c r="K73" s="2"/>
    </row>
    <row r="74" spans="2:11" ht="75" x14ac:dyDescent="0.25">
      <c r="B74" s="66" t="s">
        <v>275</v>
      </c>
      <c r="C74" s="81">
        <v>39488</v>
      </c>
      <c r="D74" s="88" t="s">
        <v>12</v>
      </c>
      <c r="E74" s="82" t="s">
        <v>412</v>
      </c>
      <c r="F74" s="88" t="s">
        <v>24</v>
      </c>
      <c r="G74" s="89">
        <v>10</v>
      </c>
      <c r="H74" s="76">
        <v>295.95999999999998</v>
      </c>
      <c r="I74" s="76">
        <f>H74*1.27</f>
        <v>375.86919999999998</v>
      </c>
      <c r="J74" s="76">
        <f>G74*I74</f>
        <v>3758.692</v>
      </c>
      <c r="K74" s="2"/>
    </row>
    <row r="75" spans="2:11" s="73" customFormat="1" ht="60" customHeight="1" x14ac:dyDescent="0.25">
      <c r="B75" s="66" t="s">
        <v>440</v>
      </c>
      <c r="C75" s="74" t="s">
        <v>421</v>
      </c>
      <c r="D75" s="67" t="s">
        <v>12</v>
      </c>
      <c r="E75" s="75" t="s">
        <v>422</v>
      </c>
      <c r="F75" s="74" t="s">
        <v>24</v>
      </c>
      <c r="G75" s="86">
        <v>4</v>
      </c>
      <c r="H75" s="76">
        <v>239.51</v>
      </c>
      <c r="I75" s="76">
        <f>H75*1.27</f>
        <v>304.17770000000002</v>
      </c>
      <c r="J75" s="76">
        <f>G75*I75</f>
        <v>1216.7108000000001</v>
      </c>
      <c r="K75" s="2"/>
    </row>
    <row r="76" spans="2:11" ht="15.75" x14ac:dyDescent="0.25">
      <c r="B76" s="42">
        <v>11</v>
      </c>
      <c r="C76" s="43"/>
      <c r="D76" s="43"/>
      <c r="E76" s="42" t="s">
        <v>85</v>
      </c>
      <c r="F76" s="43"/>
      <c r="G76" s="44"/>
      <c r="H76" s="83"/>
      <c r="I76" s="83"/>
      <c r="J76" s="83">
        <f>J77</f>
        <v>831.72300000000007</v>
      </c>
      <c r="K76" s="2"/>
    </row>
    <row r="77" spans="2:11" ht="30" x14ac:dyDescent="0.25">
      <c r="B77" s="66" t="s">
        <v>276</v>
      </c>
      <c r="C77" s="67" t="s">
        <v>86</v>
      </c>
      <c r="D77" s="67" t="s">
        <v>87</v>
      </c>
      <c r="E77" s="66" t="s">
        <v>88</v>
      </c>
      <c r="F77" s="67" t="s">
        <v>14</v>
      </c>
      <c r="G77" s="68">
        <v>11.1</v>
      </c>
      <c r="H77" s="76">
        <v>59</v>
      </c>
      <c r="I77" s="76">
        <f>H77*1.27</f>
        <v>74.930000000000007</v>
      </c>
      <c r="J77" s="76">
        <f>G77*I77</f>
        <v>831.72300000000007</v>
      </c>
      <c r="K77" s="2"/>
    </row>
    <row r="78" spans="2:11" ht="15.75" x14ac:dyDescent="0.25">
      <c r="B78" s="42">
        <v>12</v>
      </c>
      <c r="C78" s="43"/>
      <c r="D78" s="43"/>
      <c r="E78" s="42" t="s">
        <v>89</v>
      </c>
      <c r="F78" s="43"/>
      <c r="G78" s="44"/>
      <c r="H78" s="83"/>
      <c r="I78" s="83"/>
      <c r="J78" s="83">
        <f>SUM(J79:J81)</f>
        <v>23086.368991000003</v>
      </c>
      <c r="K78" s="2"/>
    </row>
    <row r="79" spans="2:11" ht="30" x14ac:dyDescent="0.25">
      <c r="B79" s="66" t="s">
        <v>277</v>
      </c>
      <c r="C79" s="67" t="s">
        <v>90</v>
      </c>
      <c r="D79" s="67" t="s">
        <v>12</v>
      </c>
      <c r="E79" s="66" t="s">
        <v>91</v>
      </c>
      <c r="F79" s="67" t="s">
        <v>14</v>
      </c>
      <c r="G79" s="68">
        <v>1739.56</v>
      </c>
      <c r="H79" s="68">
        <v>8.15</v>
      </c>
      <c r="I79" s="76">
        <f t="shared" ref="I79:I81" si="22">H79*1.27</f>
        <v>10.3505</v>
      </c>
      <c r="J79" s="76">
        <f t="shared" ref="J79:J81" si="23">G79*I79</f>
        <v>18005.315780000001</v>
      </c>
      <c r="K79" s="2"/>
    </row>
    <row r="80" spans="2:11" ht="45" x14ac:dyDescent="0.25">
      <c r="B80" s="66" t="s">
        <v>441</v>
      </c>
      <c r="C80" s="67" t="s">
        <v>92</v>
      </c>
      <c r="D80" s="67" t="s">
        <v>12</v>
      </c>
      <c r="E80" s="66" t="s">
        <v>93</v>
      </c>
      <c r="F80" s="67" t="s">
        <v>14</v>
      </c>
      <c r="G80" s="68">
        <v>112.33</v>
      </c>
      <c r="H80" s="68">
        <v>23.18</v>
      </c>
      <c r="I80" s="76">
        <f t="shared" si="22"/>
        <v>29.438600000000001</v>
      </c>
      <c r="J80" s="76">
        <f t="shared" si="23"/>
        <v>3306.8379380000001</v>
      </c>
      <c r="K80" s="2"/>
    </row>
    <row r="81" spans="2:12" ht="45" x14ac:dyDescent="0.25">
      <c r="B81" s="66" t="s">
        <v>442</v>
      </c>
      <c r="C81" s="67" t="s">
        <v>94</v>
      </c>
      <c r="D81" s="67" t="s">
        <v>12</v>
      </c>
      <c r="E81" s="66" t="s">
        <v>95</v>
      </c>
      <c r="F81" s="67" t="s">
        <v>14</v>
      </c>
      <c r="G81" s="68">
        <v>89.61</v>
      </c>
      <c r="H81" s="68">
        <v>15.59</v>
      </c>
      <c r="I81" s="76">
        <f t="shared" si="22"/>
        <v>19.799299999999999</v>
      </c>
      <c r="J81" s="76">
        <f t="shared" si="23"/>
        <v>1774.2152729999998</v>
      </c>
      <c r="K81" s="2"/>
    </row>
    <row r="82" spans="2:12" ht="15.75" x14ac:dyDescent="0.25">
      <c r="B82" s="42">
        <v>13</v>
      </c>
      <c r="C82" s="43"/>
      <c r="D82" s="43"/>
      <c r="E82" s="42" t="s">
        <v>96</v>
      </c>
      <c r="F82" s="43"/>
      <c r="G82" s="44"/>
      <c r="H82" s="83"/>
      <c r="I82" s="83"/>
      <c r="J82" s="83">
        <f>J83</f>
        <v>633.44628199999988</v>
      </c>
      <c r="K82" s="2"/>
    </row>
    <row r="83" spans="2:12" ht="30" x14ac:dyDescent="0.25">
      <c r="B83" s="66" t="s">
        <v>278</v>
      </c>
      <c r="C83" s="67" t="s">
        <v>97</v>
      </c>
      <c r="D83" s="67" t="s">
        <v>12</v>
      </c>
      <c r="E83" s="66" t="s">
        <v>98</v>
      </c>
      <c r="F83" s="67" t="s">
        <v>14</v>
      </c>
      <c r="G83" s="68">
        <v>419.14</v>
      </c>
      <c r="H83" s="76">
        <v>1.19</v>
      </c>
      <c r="I83" s="76">
        <f>H83*1.27</f>
        <v>1.5112999999999999</v>
      </c>
      <c r="J83" s="76">
        <f>G83*I83</f>
        <v>633.44628199999988</v>
      </c>
      <c r="K83" s="2"/>
    </row>
    <row r="84" spans="2:12" ht="15.75" x14ac:dyDescent="0.25">
      <c r="B84" s="42">
        <v>14</v>
      </c>
      <c r="C84" s="43"/>
      <c r="D84" s="43"/>
      <c r="E84" s="42" t="s">
        <v>307</v>
      </c>
      <c r="F84" s="43"/>
      <c r="G84" s="44"/>
      <c r="H84" s="83"/>
      <c r="I84" s="83"/>
      <c r="J84" s="83">
        <f>SUM(J85:J86)</f>
        <v>40669.549344000006</v>
      </c>
      <c r="K84" s="2"/>
    </row>
    <row r="85" spans="2:12" ht="75" x14ac:dyDescent="0.25">
      <c r="B85" s="66" t="s">
        <v>279</v>
      </c>
      <c r="C85" s="67">
        <v>100896</v>
      </c>
      <c r="D85" s="67" t="s">
        <v>12</v>
      </c>
      <c r="E85" s="66" t="s">
        <v>100</v>
      </c>
      <c r="F85" s="67" t="s">
        <v>30</v>
      </c>
      <c r="G85" s="68">
        <v>79.5</v>
      </c>
      <c r="H85" s="76">
        <v>36.450000000000003</v>
      </c>
      <c r="I85" s="76">
        <f>H85*1.27</f>
        <v>46.291500000000006</v>
      </c>
      <c r="J85" s="76">
        <f>G85*I85</f>
        <v>3680.1742500000005</v>
      </c>
      <c r="K85" s="2"/>
    </row>
    <row r="86" spans="2:12" ht="48" customHeight="1" x14ac:dyDescent="0.25">
      <c r="B86" s="66" t="s">
        <v>280</v>
      </c>
      <c r="C86" s="67" t="s">
        <v>172</v>
      </c>
      <c r="D86" s="67" t="s">
        <v>87</v>
      </c>
      <c r="E86" s="66" t="s">
        <v>173</v>
      </c>
      <c r="F86" s="67" t="s">
        <v>30</v>
      </c>
      <c r="G86" s="68">
        <v>104.37</v>
      </c>
      <c r="H86" s="76">
        <v>279.06</v>
      </c>
      <c r="I86" s="76">
        <f>H86*1.27</f>
        <v>354.40620000000001</v>
      </c>
      <c r="J86" s="76">
        <f>G86*I86</f>
        <v>36989.375094000003</v>
      </c>
      <c r="K86" s="2"/>
    </row>
    <row r="87" spans="2:12" ht="15.75" x14ac:dyDescent="0.25">
      <c r="B87" s="42">
        <v>15</v>
      </c>
      <c r="C87" s="43"/>
      <c r="D87" s="43"/>
      <c r="E87" s="42" t="s">
        <v>101</v>
      </c>
      <c r="F87" s="43"/>
      <c r="G87" s="44"/>
      <c r="H87" s="83"/>
      <c r="I87" s="83"/>
      <c r="J87" s="83">
        <f>SUM(J88:J105)</f>
        <v>14698.203776000002</v>
      </c>
      <c r="K87" s="2"/>
    </row>
    <row r="88" spans="2:12" ht="48" customHeight="1" x14ac:dyDescent="0.25">
      <c r="B88" s="66" t="s">
        <v>281</v>
      </c>
      <c r="C88" s="67" t="s">
        <v>102</v>
      </c>
      <c r="D88" s="67" t="s">
        <v>87</v>
      </c>
      <c r="E88" s="66" t="s">
        <v>103</v>
      </c>
      <c r="F88" s="67" t="s">
        <v>104</v>
      </c>
      <c r="G88" s="68">
        <v>7</v>
      </c>
      <c r="H88" s="76">
        <v>65.66</v>
      </c>
      <c r="I88" s="76">
        <f t="shared" ref="I88:I105" si="24">H88*1.27</f>
        <v>83.388199999999998</v>
      </c>
      <c r="J88" s="76">
        <f t="shared" ref="J88:J125" si="25">G88*I88</f>
        <v>583.7174</v>
      </c>
      <c r="K88" s="2"/>
      <c r="L88" s="30"/>
    </row>
    <row r="89" spans="2:12" ht="48" customHeight="1" x14ac:dyDescent="0.25">
      <c r="B89" s="66" t="s">
        <v>282</v>
      </c>
      <c r="C89" s="67" t="s">
        <v>105</v>
      </c>
      <c r="D89" s="67" t="s">
        <v>12</v>
      </c>
      <c r="E89" s="66" t="s">
        <v>106</v>
      </c>
      <c r="F89" s="67" t="s">
        <v>24</v>
      </c>
      <c r="G89" s="68">
        <v>7</v>
      </c>
      <c r="H89" s="76">
        <v>172.78</v>
      </c>
      <c r="I89" s="76">
        <f t="shared" si="24"/>
        <v>219.4306</v>
      </c>
      <c r="J89" s="76">
        <f t="shared" si="25"/>
        <v>1536.0142000000001</v>
      </c>
      <c r="K89" s="2"/>
      <c r="L89" s="30"/>
    </row>
    <row r="90" spans="2:12" ht="60" x14ac:dyDescent="0.25">
      <c r="B90" s="66" t="s">
        <v>283</v>
      </c>
      <c r="C90" s="67" t="s">
        <v>107</v>
      </c>
      <c r="D90" s="67" t="s">
        <v>12</v>
      </c>
      <c r="E90" s="66" t="s">
        <v>108</v>
      </c>
      <c r="F90" s="67" t="s">
        <v>24</v>
      </c>
      <c r="G90" s="68">
        <v>19</v>
      </c>
      <c r="H90" s="76">
        <v>93.83</v>
      </c>
      <c r="I90" s="76">
        <f t="shared" si="24"/>
        <v>119.1641</v>
      </c>
      <c r="J90" s="76">
        <f t="shared" si="25"/>
        <v>2264.1179000000002</v>
      </c>
      <c r="K90" s="2"/>
      <c r="L90" s="30"/>
    </row>
    <row r="91" spans="2:12" ht="45" x14ac:dyDescent="0.25">
      <c r="B91" s="66" t="s">
        <v>284</v>
      </c>
      <c r="C91" s="67" t="s">
        <v>109</v>
      </c>
      <c r="D91" s="67" t="s">
        <v>12</v>
      </c>
      <c r="E91" s="66" t="s">
        <v>110</v>
      </c>
      <c r="F91" s="67" t="s">
        <v>24</v>
      </c>
      <c r="G91" s="68">
        <v>7</v>
      </c>
      <c r="H91" s="76">
        <v>8.2100000000000009</v>
      </c>
      <c r="I91" s="76">
        <f t="shared" si="24"/>
        <v>10.426700000000002</v>
      </c>
      <c r="J91" s="76">
        <f t="shared" si="25"/>
        <v>72.98690000000002</v>
      </c>
      <c r="K91" s="2"/>
      <c r="L91" s="30"/>
    </row>
    <row r="92" spans="2:12" ht="45" x14ac:dyDescent="0.25">
      <c r="B92" s="66" t="s">
        <v>285</v>
      </c>
      <c r="C92" s="67" t="s">
        <v>111</v>
      </c>
      <c r="D92" s="67" t="s">
        <v>87</v>
      </c>
      <c r="E92" s="66" t="s">
        <v>112</v>
      </c>
      <c r="F92" s="67" t="s">
        <v>104</v>
      </c>
      <c r="G92" s="68">
        <v>7</v>
      </c>
      <c r="H92" s="76">
        <v>47.41</v>
      </c>
      <c r="I92" s="76">
        <f t="shared" si="24"/>
        <v>60.210699999999996</v>
      </c>
      <c r="J92" s="76">
        <f t="shared" si="25"/>
        <v>421.47489999999999</v>
      </c>
      <c r="K92" s="2"/>
      <c r="L92" s="30"/>
    </row>
    <row r="93" spans="2:12" ht="105" x14ac:dyDescent="0.25">
      <c r="B93" s="66" t="s">
        <v>443</v>
      </c>
      <c r="C93" s="67" t="s">
        <v>113</v>
      </c>
      <c r="D93" s="67" t="s">
        <v>87</v>
      </c>
      <c r="E93" s="66" t="s">
        <v>114</v>
      </c>
      <c r="F93" s="67" t="s">
        <v>104</v>
      </c>
      <c r="G93" s="68">
        <v>3</v>
      </c>
      <c r="H93" s="76">
        <v>254.89</v>
      </c>
      <c r="I93" s="76">
        <f t="shared" si="24"/>
        <v>323.71029999999996</v>
      </c>
      <c r="J93" s="76">
        <f t="shared" si="25"/>
        <v>971.13089999999988</v>
      </c>
      <c r="K93" s="2"/>
      <c r="L93" s="30"/>
    </row>
    <row r="94" spans="2:12" ht="60" x14ac:dyDescent="0.25">
      <c r="B94" s="66" t="s">
        <v>444</v>
      </c>
      <c r="C94" s="67" t="s">
        <v>115</v>
      </c>
      <c r="D94" s="67" t="s">
        <v>87</v>
      </c>
      <c r="E94" s="66" t="s">
        <v>116</v>
      </c>
      <c r="F94" s="67" t="s">
        <v>104</v>
      </c>
      <c r="G94" s="68">
        <v>3</v>
      </c>
      <c r="H94" s="76">
        <v>97.67</v>
      </c>
      <c r="I94" s="76">
        <f t="shared" si="24"/>
        <v>124.04090000000001</v>
      </c>
      <c r="J94" s="76">
        <f t="shared" si="25"/>
        <v>372.12270000000001</v>
      </c>
      <c r="K94" s="2"/>
      <c r="L94" s="30"/>
    </row>
    <row r="95" spans="2:12" ht="45" x14ac:dyDescent="0.25">
      <c r="B95" s="66" t="s">
        <v>445</v>
      </c>
      <c r="C95" s="67" t="s">
        <v>117</v>
      </c>
      <c r="D95" s="67" t="s">
        <v>87</v>
      </c>
      <c r="E95" s="66" t="s">
        <v>118</v>
      </c>
      <c r="F95" s="67" t="s">
        <v>104</v>
      </c>
      <c r="G95" s="68">
        <v>4</v>
      </c>
      <c r="H95" s="76">
        <v>65.290000000000006</v>
      </c>
      <c r="I95" s="76">
        <f t="shared" si="24"/>
        <v>82.918300000000002</v>
      </c>
      <c r="J95" s="76">
        <f t="shared" si="25"/>
        <v>331.67320000000001</v>
      </c>
      <c r="K95" s="2"/>
      <c r="L95" s="30"/>
    </row>
    <row r="96" spans="2:12" ht="75" x14ac:dyDescent="0.25">
      <c r="B96" s="66" t="s">
        <v>446</v>
      </c>
      <c r="C96" s="67" t="s">
        <v>119</v>
      </c>
      <c r="D96" s="67" t="s">
        <v>87</v>
      </c>
      <c r="E96" s="66" t="s">
        <v>120</v>
      </c>
      <c r="F96" s="67" t="s">
        <v>24</v>
      </c>
      <c r="G96" s="68">
        <v>4</v>
      </c>
      <c r="H96" s="76">
        <v>222.8</v>
      </c>
      <c r="I96" s="76">
        <f t="shared" si="24"/>
        <v>282.95600000000002</v>
      </c>
      <c r="J96" s="76">
        <f t="shared" si="25"/>
        <v>1131.8240000000001</v>
      </c>
      <c r="K96" s="2"/>
      <c r="L96" s="30"/>
    </row>
    <row r="97" spans="2:13" ht="45" x14ac:dyDescent="0.25">
      <c r="B97" s="66" t="s">
        <v>447</v>
      </c>
      <c r="C97" s="67" t="s">
        <v>121</v>
      </c>
      <c r="D97" s="67" t="s">
        <v>12</v>
      </c>
      <c r="E97" s="66" t="s">
        <v>122</v>
      </c>
      <c r="F97" s="67" t="s">
        <v>24</v>
      </c>
      <c r="G97" s="68">
        <v>4</v>
      </c>
      <c r="H97" s="76">
        <v>31.65</v>
      </c>
      <c r="I97" s="76">
        <f t="shared" si="24"/>
        <v>40.195499999999996</v>
      </c>
      <c r="J97" s="76">
        <f t="shared" si="25"/>
        <v>160.78199999999998</v>
      </c>
      <c r="K97" s="2"/>
      <c r="L97" s="30"/>
      <c r="M97" s="50"/>
    </row>
    <row r="98" spans="2:13" ht="60" x14ac:dyDescent="0.25">
      <c r="B98" s="66" t="s">
        <v>448</v>
      </c>
      <c r="C98" s="67" t="s">
        <v>123</v>
      </c>
      <c r="D98" s="67" t="s">
        <v>12</v>
      </c>
      <c r="E98" s="66" t="s">
        <v>124</v>
      </c>
      <c r="F98" s="67" t="s">
        <v>24</v>
      </c>
      <c r="G98" s="68">
        <v>4</v>
      </c>
      <c r="H98" s="76">
        <v>188.24</v>
      </c>
      <c r="I98" s="76">
        <f t="shared" si="24"/>
        <v>239.06480000000002</v>
      </c>
      <c r="J98" s="76">
        <f t="shared" si="25"/>
        <v>956.25920000000008</v>
      </c>
      <c r="K98" s="2"/>
      <c r="L98" s="30"/>
      <c r="M98" s="50"/>
    </row>
    <row r="99" spans="2:13" ht="45" x14ac:dyDescent="0.25">
      <c r="B99" s="66" t="s">
        <v>449</v>
      </c>
      <c r="C99" s="67" t="s">
        <v>125</v>
      </c>
      <c r="D99" s="67" t="s">
        <v>12</v>
      </c>
      <c r="E99" s="66" t="s">
        <v>126</v>
      </c>
      <c r="F99" s="67" t="s">
        <v>24</v>
      </c>
      <c r="G99" s="68">
        <v>4</v>
      </c>
      <c r="H99" s="76">
        <v>37.229999999999997</v>
      </c>
      <c r="I99" s="76">
        <f t="shared" si="24"/>
        <v>47.2821</v>
      </c>
      <c r="J99" s="76">
        <f t="shared" si="25"/>
        <v>189.1284</v>
      </c>
      <c r="K99" s="2"/>
      <c r="L99" s="30"/>
      <c r="M99" s="50"/>
    </row>
    <row r="100" spans="2:13" ht="60" x14ac:dyDescent="0.25">
      <c r="B100" s="66" t="s">
        <v>450</v>
      </c>
      <c r="C100" s="67" t="s">
        <v>127</v>
      </c>
      <c r="D100" s="67" t="s">
        <v>12</v>
      </c>
      <c r="E100" s="66" t="s">
        <v>128</v>
      </c>
      <c r="F100" s="67" t="s">
        <v>24</v>
      </c>
      <c r="G100" s="68">
        <v>1</v>
      </c>
      <c r="H100" s="76">
        <v>229.94</v>
      </c>
      <c r="I100" s="76">
        <f t="shared" si="24"/>
        <v>292.02379999999999</v>
      </c>
      <c r="J100" s="76">
        <f t="shared" si="25"/>
        <v>292.02379999999999</v>
      </c>
      <c r="K100" s="2"/>
      <c r="L100" s="30"/>
      <c r="M100" s="50"/>
    </row>
    <row r="101" spans="2:13" ht="45" x14ac:dyDescent="0.25">
      <c r="B101" s="66" t="s">
        <v>451</v>
      </c>
      <c r="C101" s="67" t="s">
        <v>130</v>
      </c>
      <c r="D101" s="67" t="s">
        <v>87</v>
      </c>
      <c r="E101" s="66" t="s">
        <v>131</v>
      </c>
      <c r="F101" s="67" t="s">
        <v>104</v>
      </c>
      <c r="G101" s="68">
        <v>1</v>
      </c>
      <c r="H101" s="76">
        <v>1066.7</v>
      </c>
      <c r="I101" s="76">
        <f t="shared" si="24"/>
        <v>1354.7090000000001</v>
      </c>
      <c r="J101" s="76">
        <f t="shared" si="25"/>
        <v>1354.7090000000001</v>
      </c>
      <c r="K101" s="2"/>
      <c r="L101" s="30"/>
      <c r="M101" s="50"/>
    </row>
    <row r="102" spans="2:13" s="70" customFormat="1" ht="30.6" customHeight="1" x14ac:dyDescent="0.25">
      <c r="B102" s="66" t="s">
        <v>452</v>
      </c>
      <c r="C102" s="81">
        <v>11895</v>
      </c>
      <c r="D102" s="67" t="s">
        <v>12</v>
      </c>
      <c r="E102" s="82" t="s">
        <v>411</v>
      </c>
      <c r="F102" s="67" t="s">
        <v>24</v>
      </c>
      <c r="G102" s="68">
        <v>1</v>
      </c>
      <c r="H102" s="76">
        <v>702.38</v>
      </c>
      <c r="I102" s="76">
        <f t="shared" si="24"/>
        <v>892.02260000000001</v>
      </c>
      <c r="J102" s="76">
        <f t="shared" si="25"/>
        <v>892.02260000000001</v>
      </c>
      <c r="K102" s="2"/>
      <c r="L102" s="30"/>
      <c r="M102" s="50"/>
    </row>
    <row r="103" spans="2:13" ht="45" x14ac:dyDescent="0.25">
      <c r="B103" s="66" t="s">
        <v>453</v>
      </c>
      <c r="C103" s="67" t="s">
        <v>132</v>
      </c>
      <c r="D103" s="67" t="s">
        <v>12</v>
      </c>
      <c r="E103" s="66" t="s">
        <v>133</v>
      </c>
      <c r="F103" s="67" t="s">
        <v>24</v>
      </c>
      <c r="G103" s="68">
        <v>1</v>
      </c>
      <c r="H103" s="76">
        <v>57.76</v>
      </c>
      <c r="I103" s="76">
        <f t="shared" si="24"/>
        <v>73.355199999999996</v>
      </c>
      <c r="J103" s="76">
        <f t="shared" si="25"/>
        <v>73.355199999999996</v>
      </c>
      <c r="K103" s="2"/>
      <c r="L103" s="30"/>
      <c r="M103" s="50"/>
    </row>
    <row r="104" spans="2:13" s="57" customFormat="1" ht="45" x14ac:dyDescent="0.25">
      <c r="B104" s="66" t="s">
        <v>454</v>
      </c>
      <c r="C104" s="67">
        <v>86893</v>
      </c>
      <c r="D104" s="67" t="s">
        <v>12</v>
      </c>
      <c r="E104" s="66" t="s">
        <v>405</v>
      </c>
      <c r="F104" s="68" t="s">
        <v>406</v>
      </c>
      <c r="G104" s="68">
        <v>3.48</v>
      </c>
      <c r="H104" s="76">
        <v>401.31</v>
      </c>
      <c r="I104" s="76">
        <f t="shared" si="24"/>
        <v>509.66370000000001</v>
      </c>
      <c r="J104" s="76">
        <f t="shared" si="25"/>
        <v>1773.629676</v>
      </c>
      <c r="K104" s="2"/>
      <c r="L104" s="30"/>
      <c r="M104" s="50"/>
    </row>
    <row r="105" spans="2:13" ht="45" x14ac:dyDescent="0.25">
      <c r="B105" s="66" t="s">
        <v>455</v>
      </c>
      <c r="C105" s="67" t="s">
        <v>134</v>
      </c>
      <c r="D105" s="67" t="s">
        <v>12</v>
      </c>
      <c r="E105" s="66" t="s">
        <v>135</v>
      </c>
      <c r="F105" s="67" t="s">
        <v>24</v>
      </c>
      <c r="G105" s="68">
        <v>6</v>
      </c>
      <c r="H105" s="76">
        <v>173.39</v>
      </c>
      <c r="I105" s="76">
        <f t="shared" si="24"/>
        <v>220.20529999999999</v>
      </c>
      <c r="J105" s="76">
        <f t="shared" si="25"/>
        <v>1321.2318</v>
      </c>
      <c r="K105" s="2"/>
      <c r="L105" s="30"/>
      <c r="M105" s="50"/>
    </row>
    <row r="106" spans="2:13" ht="15.75" x14ac:dyDescent="0.25">
      <c r="B106" s="42">
        <v>16</v>
      </c>
      <c r="C106" s="43"/>
      <c r="D106" s="43"/>
      <c r="E106" s="42" t="s">
        <v>136</v>
      </c>
      <c r="F106" s="43"/>
      <c r="G106" s="44"/>
      <c r="H106" s="83"/>
      <c r="I106" s="83"/>
      <c r="J106" s="83">
        <f>SUM(J107:J111)</f>
        <v>3885.2093999999997</v>
      </c>
      <c r="K106" s="2"/>
      <c r="M106" s="50"/>
    </row>
    <row r="107" spans="2:13" ht="45" x14ac:dyDescent="0.25">
      <c r="B107" s="66" t="s">
        <v>286</v>
      </c>
      <c r="C107" s="67" t="s">
        <v>137</v>
      </c>
      <c r="D107" s="67" t="s">
        <v>12</v>
      </c>
      <c r="E107" s="66" t="s">
        <v>138</v>
      </c>
      <c r="F107" s="67" t="s">
        <v>24</v>
      </c>
      <c r="G107" s="68">
        <v>10</v>
      </c>
      <c r="H107" s="76">
        <v>22.48</v>
      </c>
      <c r="I107" s="76">
        <f t="shared" ref="I107:I111" si="26">H107*1.27</f>
        <v>28.549600000000002</v>
      </c>
      <c r="J107" s="76">
        <f t="shared" si="25"/>
        <v>285.49600000000004</v>
      </c>
      <c r="K107" s="2"/>
      <c r="M107" s="50"/>
    </row>
    <row r="108" spans="2:13" ht="30" x14ac:dyDescent="0.25">
      <c r="B108" s="66" t="s">
        <v>287</v>
      </c>
      <c r="C108" s="67" t="s">
        <v>139</v>
      </c>
      <c r="D108" s="67" t="s">
        <v>87</v>
      </c>
      <c r="E108" s="66" t="s">
        <v>140</v>
      </c>
      <c r="F108" s="67" t="s">
        <v>104</v>
      </c>
      <c r="G108" s="68">
        <v>5</v>
      </c>
      <c r="H108" s="76">
        <v>7.24</v>
      </c>
      <c r="I108" s="76">
        <f t="shared" si="26"/>
        <v>9.1948000000000008</v>
      </c>
      <c r="J108" s="76">
        <f t="shared" si="25"/>
        <v>45.974000000000004</v>
      </c>
      <c r="K108" s="2"/>
      <c r="M108" s="50"/>
    </row>
    <row r="109" spans="2:13" ht="30" x14ac:dyDescent="0.25">
      <c r="B109" s="66" t="s">
        <v>288</v>
      </c>
      <c r="C109" s="67" t="s">
        <v>141</v>
      </c>
      <c r="D109" s="67" t="s">
        <v>87</v>
      </c>
      <c r="E109" s="66" t="s">
        <v>142</v>
      </c>
      <c r="F109" s="67" t="s">
        <v>104</v>
      </c>
      <c r="G109" s="68">
        <v>9</v>
      </c>
      <c r="H109" s="76">
        <v>19.68</v>
      </c>
      <c r="I109" s="76">
        <f t="shared" si="26"/>
        <v>24.993600000000001</v>
      </c>
      <c r="J109" s="76">
        <f t="shared" si="25"/>
        <v>224.94240000000002</v>
      </c>
      <c r="K109" s="2"/>
      <c r="M109" s="50"/>
    </row>
    <row r="110" spans="2:13" ht="45" x14ac:dyDescent="0.25">
      <c r="B110" s="66" t="s">
        <v>289</v>
      </c>
      <c r="C110" s="67" t="s">
        <v>143</v>
      </c>
      <c r="D110" s="67" t="s">
        <v>12</v>
      </c>
      <c r="E110" s="66" t="s">
        <v>144</v>
      </c>
      <c r="F110" s="67" t="s">
        <v>24</v>
      </c>
      <c r="G110" s="68">
        <v>5</v>
      </c>
      <c r="H110" s="76">
        <v>401.53</v>
      </c>
      <c r="I110" s="76">
        <f t="shared" si="26"/>
        <v>509.94309999999996</v>
      </c>
      <c r="J110" s="76">
        <f t="shared" si="25"/>
        <v>2549.7154999999998</v>
      </c>
      <c r="K110" s="2"/>
      <c r="M110" s="50"/>
    </row>
    <row r="111" spans="2:13" ht="45" x14ac:dyDescent="0.25">
      <c r="B111" s="66" t="s">
        <v>290</v>
      </c>
      <c r="C111" s="67" t="s">
        <v>145</v>
      </c>
      <c r="D111" s="67" t="s">
        <v>12</v>
      </c>
      <c r="E111" s="66" t="s">
        <v>146</v>
      </c>
      <c r="F111" s="67" t="s">
        <v>24</v>
      </c>
      <c r="G111" s="68">
        <v>5</v>
      </c>
      <c r="H111" s="76">
        <v>122.69</v>
      </c>
      <c r="I111" s="76">
        <f t="shared" si="26"/>
        <v>155.81630000000001</v>
      </c>
      <c r="J111" s="76">
        <f t="shared" si="25"/>
        <v>779.08150000000001</v>
      </c>
      <c r="K111" s="2"/>
      <c r="M111" s="50"/>
    </row>
    <row r="112" spans="2:13" ht="15.75" x14ac:dyDescent="0.25">
      <c r="B112" s="42">
        <v>17</v>
      </c>
      <c r="C112" s="43"/>
      <c r="D112" s="43"/>
      <c r="E112" s="42" t="s">
        <v>147</v>
      </c>
      <c r="F112" s="43"/>
      <c r="G112" s="44"/>
      <c r="H112" s="83"/>
      <c r="I112" s="83"/>
      <c r="J112" s="83">
        <f>SUM(J113:J125)</f>
        <v>29378.910000000007</v>
      </c>
      <c r="K112" s="2"/>
      <c r="M112" s="51"/>
    </row>
    <row r="113" spans="2:13" ht="75" x14ac:dyDescent="0.25">
      <c r="B113" s="66" t="s">
        <v>456</v>
      </c>
      <c r="C113" s="67" t="s">
        <v>148</v>
      </c>
      <c r="D113" s="67" t="s">
        <v>12</v>
      </c>
      <c r="E113" s="66" t="s">
        <v>149</v>
      </c>
      <c r="F113" s="67" t="s">
        <v>24</v>
      </c>
      <c r="G113" s="68">
        <v>111</v>
      </c>
      <c r="H113" s="76">
        <v>169.37</v>
      </c>
      <c r="I113" s="76">
        <f t="shared" ref="I113:I125" si="27">H113*1.27</f>
        <v>215.09990000000002</v>
      </c>
      <c r="J113" s="76">
        <f t="shared" si="25"/>
        <v>23876.088900000002</v>
      </c>
      <c r="K113" s="2"/>
      <c r="M113" s="51"/>
    </row>
    <row r="114" spans="2:13" ht="45" x14ac:dyDescent="0.25">
      <c r="B114" s="66" t="s">
        <v>457</v>
      </c>
      <c r="C114" s="67" t="s">
        <v>150</v>
      </c>
      <c r="D114" s="67" t="s">
        <v>87</v>
      </c>
      <c r="E114" s="66" t="s">
        <v>151</v>
      </c>
      <c r="F114" s="67" t="s">
        <v>104</v>
      </c>
      <c r="G114" s="68">
        <v>7</v>
      </c>
      <c r="H114" s="76">
        <v>125.66</v>
      </c>
      <c r="I114" s="76">
        <f t="shared" si="27"/>
        <v>159.5882</v>
      </c>
      <c r="J114" s="76">
        <f>G114*I114</f>
        <v>1117.1174000000001</v>
      </c>
      <c r="K114" s="2"/>
    </row>
    <row r="115" spans="2:13" ht="30" x14ac:dyDescent="0.25">
      <c r="B115" s="66" t="s">
        <v>458</v>
      </c>
      <c r="C115" s="67" t="s">
        <v>152</v>
      </c>
      <c r="D115" s="67" t="s">
        <v>12</v>
      </c>
      <c r="E115" s="66" t="s">
        <v>153</v>
      </c>
      <c r="F115" s="67" t="s">
        <v>24</v>
      </c>
      <c r="G115" s="68">
        <v>8</v>
      </c>
      <c r="H115" s="76">
        <v>31.21</v>
      </c>
      <c r="I115" s="76">
        <f t="shared" si="27"/>
        <v>39.636700000000005</v>
      </c>
      <c r="J115" s="76">
        <f t="shared" si="25"/>
        <v>317.09360000000004</v>
      </c>
      <c r="K115" s="2"/>
    </row>
    <row r="116" spans="2:13" ht="30" x14ac:dyDescent="0.25">
      <c r="B116" s="66" t="s">
        <v>459</v>
      </c>
      <c r="C116" s="67" t="s">
        <v>154</v>
      </c>
      <c r="D116" s="67" t="s">
        <v>12</v>
      </c>
      <c r="E116" s="66" t="s">
        <v>155</v>
      </c>
      <c r="F116" s="67" t="s">
        <v>24</v>
      </c>
      <c r="G116" s="68">
        <v>1</v>
      </c>
      <c r="H116" s="76">
        <v>15.84</v>
      </c>
      <c r="I116" s="76">
        <f>H116*1.27</f>
        <v>20.116800000000001</v>
      </c>
      <c r="J116" s="76">
        <f t="shared" si="25"/>
        <v>20.116800000000001</v>
      </c>
      <c r="K116" s="2"/>
    </row>
    <row r="117" spans="2:13" ht="60" x14ac:dyDescent="0.25">
      <c r="B117" s="66" t="s">
        <v>460</v>
      </c>
      <c r="C117" s="67" t="s">
        <v>156</v>
      </c>
      <c r="D117" s="67" t="s">
        <v>87</v>
      </c>
      <c r="E117" s="66" t="s">
        <v>157</v>
      </c>
      <c r="F117" s="67" t="s">
        <v>24</v>
      </c>
      <c r="G117" s="68">
        <v>1</v>
      </c>
      <c r="H117" s="76">
        <v>51.46</v>
      </c>
      <c r="I117" s="76">
        <f>H117*1.27</f>
        <v>65.354200000000006</v>
      </c>
      <c r="J117" s="76">
        <f>G117*I117</f>
        <v>65.354200000000006</v>
      </c>
      <c r="K117" s="2"/>
    </row>
    <row r="118" spans="2:13" ht="45" x14ac:dyDescent="0.25">
      <c r="B118" s="66" t="s">
        <v>461</v>
      </c>
      <c r="C118" s="67" t="s">
        <v>158</v>
      </c>
      <c r="D118" s="67" t="s">
        <v>87</v>
      </c>
      <c r="E118" s="66" t="s">
        <v>159</v>
      </c>
      <c r="F118" s="67" t="s">
        <v>24</v>
      </c>
      <c r="G118" s="68">
        <v>65</v>
      </c>
      <c r="H118" s="76">
        <v>10.25</v>
      </c>
      <c r="I118" s="76">
        <f>H118*1.27</f>
        <v>13.0175</v>
      </c>
      <c r="J118" s="76">
        <f t="shared" si="25"/>
        <v>846.13750000000005</v>
      </c>
      <c r="K118" s="2"/>
    </row>
    <row r="119" spans="2:13" ht="45" x14ac:dyDescent="0.25">
      <c r="B119" s="66" t="s">
        <v>462</v>
      </c>
      <c r="C119" s="67" t="s">
        <v>160</v>
      </c>
      <c r="D119" s="67" t="s">
        <v>87</v>
      </c>
      <c r="E119" s="66" t="s">
        <v>161</v>
      </c>
      <c r="F119" s="67" t="s">
        <v>24</v>
      </c>
      <c r="G119" s="68">
        <v>17</v>
      </c>
      <c r="H119" s="76">
        <v>10.87</v>
      </c>
      <c r="I119" s="76">
        <f>H119*1.27</f>
        <v>13.8049</v>
      </c>
      <c r="J119" s="76">
        <f>G119*I119</f>
        <v>234.6833</v>
      </c>
      <c r="K119" s="2"/>
    </row>
    <row r="120" spans="2:13" ht="60" x14ac:dyDescent="0.25">
      <c r="B120" s="66" t="s">
        <v>463</v>
      </c>
      <c r="C120" s="67" t="s">
        <v>162</v>
      </c>
      <c r="D120" s="67" t="s">
        <v>12</v>
      </c>
      <c r="E120" s="66" t="s">
        <v>163</v>
      </c>
      <c r="F120" s="67" t="s">
        <v>24</v>
      </c>
      <c r="G120" s="68">
        <v>1</v>
      </c>
      <c r="H120" s="76">
        <v>396.59</v>
      </c>
      <c r="I120" s="76">
        <f t="shared" si="27"/>
        <v>503.66929999999996</v>
      </c>
      <c r="J120" s="76">
        <f t="shared" si="25"/>
        <v>503.66929999999996</v>
      </c>
      <c r="K120" s="2"/>
    </row>
    <row r="121" spans="2:13" ht="30" x14ac:dyDescent="0.25">
      <c r="B121" s="66" t="s">
        <v>464</v>
      </c>
      <c r="C121" s="67" t="s">
        <v>164</v>
      </c>
      <c r="D121" s="67" t="s">
        <v>12</v>
      </c>
      <c r="E121" s="66" t="s">
        <v>165</v>
      </c>
      <c r="F121" s="67" t="s">
        <v>24</v>
      </c>
      <c r="G121" s="68">
        <v>2</v>
      </c>
      <c r="H121" s="76">
        <v>11.43</v>
      </c>
      <c r="I121" s="76">
        <f t="shared" si="27"/>
        <v>14.5161</v>
      </c>
      <c r="J121" s="76">
        <f t="shared" si="25"/>
        <v>29.0322</v>
      </c>
      <c r="K121" s="2"/>
    </row>
    <row r="122" spans="2:13" ht="30" x14ac:dyDescent="0.25">
      <c r="B122" s="66" t="s">
        <v>465</v>
      </c>
      <c r="C122" s="67" t="s">
        <v>166</v>
      </c>
      <c r="D122" s="67" t="s">
        <v>12</v>
      </c>
      <c r="E122" s="66" t="s">
        <v>167</v>
      </c>
      <c r="F122" s="67" t="s">
        <v>24</v>
      </c>
      <c r="G122" s="68">
        <v>7</v>
      </c>
      <c r="H122" s="76">
        <v>11.85</v>
      </c>
      <c r="I122" s="76">
        <f t="shared" si="27"/>
        <v>15.0495</v>
      </c>
      <c r="J122" s="76">
        <f t="shared" si="25"/>
        <v>105.34650000000001</v>
      </c>
      <c r="K122" s="2"/>
    </row>
    <row r="123" spans="2:13" ht="30" x14ac:dyDescent="0.25">
      <c r="B123" s="66" t="s">
        <v>466</v>
      </c>
      <c r="C123" s="67" t="s">
        <v>168</v>
      </c>
      <c r="D123" s="67" t="s">
        <v>12</v>
      </c>
      <c r="E123" s="66" t="s">
        <v>169</v>
      </c>
      <c r="F123" s="67" t="s">
        <v>24</v>
      </c>
      <c r="G123" s="68">
        <v>2</v>
      </c>
      <c r="H123" s="76">
        <v>12.65</v>
      </c>
      <c r="I123" s="76">
        <f t="shared" si="27"/>
        <v>16.0655</v>
      </c>
      <c r="J123" s="76">
        <f t="shared" si="25"/>
        <v>32.131</v>
      </c>
      <c r="K123" s="2"/>
    </row>
    <row r="124" spans="2:13" ht="45" x14ac:dyDescent="0.25">
      <c r="B124" s="66" t="s">
        <v>467</v>
      </c>
      <c r="C124" s="67" t="s">
        <v>170</v>
      </c>
      <c r="D124" s="67" t="s">
        <v>12</v>
      </c>
      <c r="E124" s="66" t="s">
        <v>171</v>
      </c>
      <c r="F124" s="67" t="s">
        <v>24</v>
      </c>
      <c r="G124" s="68">
        <v>2</v>
      </c>
      <c r="H124" s="76">
        <v>131.33000000000001</v>
      </c>
      <c r="I124" s="76">
        <f t="shared" si="27"/>
        <v>166.78910000000002</v>
      </c>
      <c r="J124" s="76">
        <f t="shared" si="25"/>
        <v>333.57820000000004</v>
      </c>
      <c r="K124" s="2"/>
    </row>
    <row r="125" spans="2:13" ht="30" x14ac:dyDescent="0.25">
      <c r="B125" s="66" t="s">
        <v>468</v>
      </c>
      <c r="C125" s="67" t="s">
        <v>174</v>
      </c>
      <c r="D125" s="67" t="s">
        <v>87</v>
      </c>
      <c r="E125" s="66" t="s">
        <v>175</v>
      </c>
      <c r="F125" s="67" t="s">
        <v>24</v>
      </c>
      <c r="G125" s="68">
        <v>1</v>
      </c>
      <c r="H125" s="76">
        <v>1494.93</v>
      </c>
      <c r="I125" s="76">
        <f t="shared" si="27"/>
        <v>1898.5611000000001</v>
      </c>
      <c r="J125" s="76">
        <f t="shared" si="25"/>
        <v>1898.5611000000001</v>
      </c>
      <c r="K125" s="2"/>
    </row>
    <row r="126" spans="2:13" ht="15" x14ac:dyDescent="0.25">
      <c r="B126" s="90"/>
      <c r="C126" s="74"/>
      <c r="D126" s="74"/>
      <c r="E126" s="90"/>
      <c r="F126" s="74"/>
      <c r="G126" s="91"/>
      <c r="H126" s="92"/>
      <c r="I126" s="92"/>
      <c r="J126" s="92"/>
      <c r="K126" s="2"/>
    </row>
    <row r="127" spans="2:13" ht="15.75" x14ac:dyDescent="0.25">
      <c r="B127" s="139" t="s">
        <v>223</v>
      </c>
      <c r="C127" s="139"/>
      <c r="D127" s="139"/>
      <c r="E127" s="139"/>
      <c r="F127" s="139"/>
      <c r="G127" s="139"/>
      <c r="H127" s="139"/>
      <c r="I127" s="139"/>
      <c r="J127" s="77">
        <f>J8+J17</f>
        <v>424748.63246699999</v>
      </c>
      <c r="K127" s="2"/>
    </row>
    <row r="128" spans="2:13" ht="13.9" customHeight="1" x14ac:dyDescent="0.25">
      <c r="B128" s="93"/>
      <c r="C128" s="81"/>
      <c r="D128" s="81"/>
      <c r="E128" s="93"/>
      <c r="F128" s="81"/>
      <c r="G128" s="94"/>
      <c r="H128" s="95"/>
      <c r="I128" s="95"/>
      <c r="J128" s="95"/>
      <c r="K128" s="2"/>
    </row>
    <row r="129" spans="2:11" ht="13.9" customHeight="1" x14ac:dyDescent="0.25">
      <c r="B129" s="93"/>
      <c r="C129" s="81"/>
      <c r="D129" s="81"/>
      <c r="E129" s="93"/>
      <c r="F129" s="81"/>
      <c r="G129" s="94"/>
      <c r="H129" s="95"/>
      <c r="I129" s="95"/>
      <c r="J129" s="95"/>
      <c r="K129" s="2"/>
    </row>
    <row r="130" spans="2:11" ht="13.9" customHeight="1" x14ac:dyDescent="0.25">
      <c r="B130" s="134" t="s">
        <v>401</v>
      </c>
      <c r="C130" s="134"/>
      <c r="D130" s="134"/>
      <c r="E130" s="134"/>
      <c r="F130" s="134"/>
      <c r="G130" s="134"/>
      <c r="H130" s="134"/>
      <c r="I130" s="134"/>
      <c r="J130" s="134"/>
      <c r="K130" s="2"/>
    </row>
    <row r="131" spans="2:11" ht="13.9" customHeight="1" x14ac:dyDescent="0.25">
      <c r="B131" s="134"/>
      <c r="C131" s="134"/>
      <c r="D131" s="134"/>
      <c r="E131" s="134"/>
      <c r="F131" s="134"/>
      <c r="G131" s="134"/>
      <c r="H131" s="134"/>
      <c r="I131" s="134"/>
      <c r="J131" s="134"/>
      <c r="K131" s="2"/>
    </row>
    <row r="132" spans="2:11" ht="13.9" customHeight="1" x14ac:dyDescent="0.25">
      <c r="B132" s="134"/>
      <c r="C132" s="134"/>
      <c r="D132" s="134"/>
      <c r="E132" s="134"/>
      <c r="F132" s="134"/>
      <c r="G132" s="134"/>
      <c r="H132" s="134"/>
      <c r="I132" s="134"/>
      <c r="J132" s="134"/>
      <c r="K132" s="2"/>
    </row>
    <row r="133" spans="2:11" ht="13.9" customHeight="1" x14ac:dyDescent="0.25">
      <c r="B133" s="134"/>
      <c r="C133" s="134"/>
      <c r="D133" s="134"/>
      <c r="E133" s="134"/>
      <c r="F133" s="134"/>
      <c r="G133" s="134"/>
      <c r="H133" s="134"/>
      <c r="I133" s="134"/>
      <c r="J133" s="134"/>
      <c r="K133" s="2"/>
    </row>
    <row r="134" spans="2:11" ht="53.45" customHeight="1" x14ac:dyDescent="0.25">
      <c r="B134" s="134"/>
      <c r="C134" s="134"/>
      <c r="D134" s="134"/>
      <c r="E134" s="134"/>
      <c r="F134" s="134"/>
      <c r="G134" s="134"/>
      <c r="H134" s="134"/>
      <c r="I134" s="134"/>
      <c r="J134" s="134"/>
      <c r="K134" s="2"/>
    </row>
    <row r="135" spans="2:11" ht="15" x14ac:dyDescent="0.25">
      <c r="K135" s="2"/>
    </row>
    <row r="136" spans="2:11" ht="15" x14ac:dyDescent="0.25">
      <c r="K136" s="2"/>
    </row>
    <row r="137" spans="2:11" ht="13.9" customHeight="1" x14ac:dyDescent="0.25">
      <c r="K137" s="2"/>
    </row>
    <row r="138" spans="2:11" ht="13.9" customHeight="1" x14ac:dyDescent="0.25">
      <c r="K138" s="2"/>
    </row>
    <row r="139" spans="2:11" ht="13.9" customHeight="1" x14ac:dyDescent="0.25">
      <c r="K139" s="2"/>
    </row>
    <row r="140" spans="2:11" ht="13.9" customHeight="1" x14ac:dyDescent="0.25">
      <c r="K140" s="2"/>
    </row>
    <row r="141" spans="2:11" ht="13.9" customHeight="1" x14ac:dyDescent="0.25">
      <c r="K141" s="2"/>
    </row>
    <row r="142" spans="2:11" ht="15" x14ac:dyDescent="0.25">
      <c r="K142" s="2"/>
    </row>
    <row r="143" spans="2:11" ht="15" x14ac:dyDescent="0.25">
      <c r="K143" s="2"/>
    </row>
    <row r="144" spans="2:11" ht="15" x14ac:dyDescent="0.25">
      <c r="K144" s="2"/>
    </row>
    <row r="145" spans="11:11" ht="15" x14ac:dyDescent="0.25">
      <c r="K145" s="2"/>
    </row>
    <row r="146" spans="11:11" ht="15" x14ac:dyDescent="0.25">
      <c r="K146" s="2"/>
    </row>
    <row r="147" spans="11:11" ht="15" x14ac:dyDescent="0.25">
      <c r="K147" s="2"/>
    </row>
    <row r="148" spans="11:11" ht="15" x14ac:dyDescent="0.25">
      <c r="K148" s="2"/>
    </row>
    <row r="149" spans="11:11" ht="15" x14ac:dyDescent="0.25">
      <c r="K149" s="2"/>
    </row>
    <row r="150" spans="11:11" ht="15" x14ac:dyDescent="0.25">
      <c r="K150" s="2"/>
    </row>
    <row r="151" spans="11:11" ht="15" x14ac:dyDescent="0.25">
      <c r="K151" s="2"/>
    </row>
    <row r="152" spans="11:11" ht="15" x14ac:dyDescent="0.25">
      <c r="K152" s="2"/>
    </row>
    <row r="153" spans="11:11" ht="15" x14ac:dyDescent="0.25">
      <c r="K153" s="2"/>
    </row>
    <row r="154" spans="11:11" ht="15" x14ac:dyDescent="0.25">
      <c r="K154" s="2"/>
    </row>
    <row r="155" spans="11:11" ht="15" x14ac:dyDescent="0.25">
      <c r="K155" s="2"/>
    </row>
    <row r="156" spans="11:11" ht="15" x14ac:dyDescent="0.25">
      <c r="K156" s="2"/>
    </row>
    <row r="157" spans="11:11" ht="15" x14ac:dyDescent="0.25">
      <c r="K157" s="2"/>
    </row>
  </sheetData>
  <mergeCells count="10">
    <mergeCell ref="B130:J134"/>
    <mergeCell ref="B1:J1"/>
    <mergeCell ref="F2:G2"/>
    <mergeCell ref="H2:I2"/>
    <mergeCell ref="B127:I127"/>
    <mergeCell ref="B4:J4"/>
    <mergeCell ref="B3:J3"/>
    <mergeCell ref="B6:J6"/>
    <mergeCell ref="B5:E5"/>
    <mergeCell ref="F5:J5"/>
  </mergeCells>
  <phoneticPr fontId="3" type="noConversion"/>
  <pageMargins left="0.31496062992125984" right="0.31496062992125984" top="0.39370078740157483" bottom="0.39370078740157483" header="0.51181102362204722" footer="0.51181102362204722"/>
  <pageSetup paperSize="9" scale="80" fitToHeight="0" orientation="landscape" r:id="rId1"/>
  <headerFooter>
    <oddHeader xml:space="preserve">&amp;L &amp;C </oddHeader>
    <oddFooter xml:space="preserve">&amp;L &amp;C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I40"/>
  <sheetViews>
    <sheetView topLeftCell="A13" workbookViewId="0">
      <selection activeCell="L31" sqref="L31"/>
    </sheetView>
  </sheetViews>
  <sheetFormatPr defaultRowHeight="14.25" x14ac:dyDescent="0.2"/>
  <cols>
    <col min="3" max="3" width="36.75" customWidth="1"/>
    <col min="5" max="5" width="7.125" bestFit="1" customWidth="1"/>
    <col min="6" max="6" width="7.625" customWidth="1"/>
    <col min="7" max="7" width="7.375" customWidth="1"/>
    <col min="8" max="8" width="7.75" bestFit="1" customWidth="1"/>
    <col min="9" max="9" width="8.25" customWidth="1"/>
  </cols>
  <sheetData>
    <row r="2" spans="3:9" x14ac:dyDescent="0.2">
      <c r="C2" s="157" t="s">
        <v>176</v>
      </c>
      <c r="D2" s="157"/>
      <c r="E2" s="157"/>
      <c r="F2" s="157"/>
      <c r="G2" s="157"/>
      <c r="H2" s="157"/>
      <c r="I2" s="157"/>
    </row>
    <row r="3" spans="3:9" ht="22.15" customHeight="1" x14ac:dyDescent="0.2">
      <c r="C3" s="158" t="s">
        <v>291</v>
      </c>
      <c r="D3" s="159"/>
      <c r="E3" s="159"/>
      <c r="F3" s="159"/>
      <c r="G3" s="160"/>
      <c r="H3" s="161" t="s">
        <v>292</v>
      </c>
      <c r="I3" s="162"/>
    </row>
    <row r="4" spans="3:9" ht="15" customHeight="1" x14ac:dyDescent="0.2">
      <c r="C4" s="163" t="s">
        <v>293</v>
      </c>
      <c r="D4" s="164"/>
      <c r="E4" s="164"/>
      <c r="F4" s="164"/>
      <c r="G4" s="164"/>
      <c r="H4" s="161" t="s">
        <v>294</v>
      </c>
      <c r="I4" s="165"/>
    </row>
    <row r="5" spans="3:9" x14ac:dyDescent="0.2">
      <c r="C5" s="166"/>
      <c r="D5" s="166"/>
      <c r="E5" s="166"/>
      <c r="F5" s="166"/>
      <c r="G5" s="166"/>
      <c r="H5" s="166"/>
      <c r="I5" s="166"/>
    </row>
    <row r="6" spans="3:9" x14ac:dyDescent="0.2">
      <c r="C6" s="167" t="s">
        <v>177</v>
      </c>
      <c r="D6" s="168"/>
      <c r="E6" s="168"/>
      <c r="F6" s="168"/>
      <c r="G6" s="169"/>
      <c r="H6" s="170">
        <v>100</v>
      </c>
      <c r="I6" s="170"/>
    </row>
    <row r="7" spans="3:9" x14ac:dyDescent="0.2">
      <c r="C7" s="167" t="s">
        <v>178</v>
      </c>
      <c r="D7" s="171"/>
      <c r="E7" s="171"/>
      <c r="F7" s="171"/>
      <c r="G7" s="172"/>
      <c r="H7" s="170">
        <v>3</v>
      </c>
      <c r="I7" s="170"/>
    </row>
    <row r="8" spans="3:9" x14ac:dyDescent="0.2">
      <c r="C8" s="173"/>
      <c r="D8" s="173"/>
      <c r="E8" s="173"/>
      <c r="F8" s="173"/>
      <c r="G8" s="173"/>
      <c r="H8" s="173"/>
      <c r="I8" s="173"/>
    </row>
    <row r="9" spans="3:9" ht="31.5" x14ac:dyDescent="0.2">
      <c r="C9" s="10" t="s">
        <v>179</v>
      </c>
      <c r="D9" s="10" t="s">
        <v>180</v>
      </c>
      <c r="E9" s="11" t="s">
        <v>181</v>
      </c>
      <c r="F9" s="10" t="s">
        <v>182</v>
      </c>
      <c r="G9" s="11" t="s">
        <v>183</v>
      </c>
      <c r="H9" s="10" t="s">
        <v>184</v>
      </c>
      <c r="I9" s="11" t="s">
        <v>185</v>
      </c>
    </row>
    <row r="10" spans="3:9" x14ac:dyDescent="0.2">
      <c r="C10" s="12" t="s">
        <v>186</v>
      </c>
      <c r="D10" s="13" t="s">
        <v>187</v>
      </c>
      <c r="E10" s="14">
        <v>3.9E-2</v>
      </c>
      <c r="F10" s="13" t="s">
        <v>188</v>
      </c>
      <c r="G10" s="14">
        <v>0.03</v>
      </c>
      <c r="H10" s="14">
        <v>0.04</v>
      </c>
      <c r="I10" s="14">
        <v>5.5E-2</v>
      </c>
    </row>
    <row r="11" spans="3:9" x14ac:dyDescent="0.2">
      <c r="C11" s="12" t="s">
        <v>189</v>
      </c>
      <c r="D11" s="13" t="s">
        <v>190</v>
      </c>
      <c r="E11" s="14">
        <v>8.0000000000000002E-3</v>
      </c>
      <c r="F11" s="13" t="s">
        <v>188</v>
      </c>
      <c r="G11" s="14">
        <v>8.0000000000000002E-3</v>
      </c>
      <c r="H11" s="14">
        <v>8.0000000000000002E-3</v>
      </c>
      <c r="I11" s="14">
        <v>0.01</v>
      </c>
    </row>
    <row r="12" spans="3:9" x14ac:dyDescent="0.2">
      <c r="C12" s="12" t="s">
        <v>191</v>
      </c>
      <c r="D12" s="13" t="s">
        <v>192</v>
      </c>
      <c r="E12" s="14">
        <v>9.7000000000000003E-3</v>
      </c>
      <c r="F12" s="13" t="s">
        <v>188</v>
      </c>
      <c r="G12" s="14">
        <v>9.7000000000000003E-3</v>
      </c>
      <c r="H12" s="14">
        <v>1.2699999999999999E-2</v>
      </c>
      <c r="I12" s="14">
        <v>1.2699999999999999E-2</v>
      </c>
    </row>
    <row r="13" spans="3:9" x14ac:dyDescent="0.2">
      <c r="C13" s="12" t="s">
        <v>193</v>
      </c>
      <c r="D13" s="13" t="s">
        <v>194</v>
      </c>
      <c r="E13" s="14">
        <v>5.8999999999999999E-3</v>
      </c>
      <c r="F13" s="13" t="s">
        <v>188</v>
      </c>
      <c r="G13" s="14">
        <v>5.8999999999999999E-3</v>
      </c>
      <c r="H13" s="14">
        <v>1.23E-2</v>
      </c>
      <c r="I13" s="14">
        <v>1.3899999999999999E-2</v>
      </c>
    </row>
    <row r="14" spans="3:9" x14ac:dyDescent="0.2">
      <c r="C14" s="12" t="s">
        <v>195</v>
      </c>
      <c r="D14" s="13" t="s">
        <v>52</v>
      </c>
      <c r="E14" s="14">
        <v>6.1600000000000002E-2</v>
      </c>
      <c r="F14" s="13" t="s">
        <v>188</v>
      </c>
      <c r="G14" s="14">
        <v>6.1600000000000002E-2</v>
      </c>
      <c r="H14" s="14">
        <v>7.3999999999999996E-2</v>
      </c>
      <c r="I14" s="14">
        <v>8.9599999999999999E-2</v>
      </c>
    </row>
    <row r="15" spans="3:9" x14ac:dyDescent="0.2">
      <c r="C15" s="15" t="s">
        <v>196</v>
      </c>
      <c r="D15" s="13" t="s">
        <v>197</v>
      </c>
      <c r="E15" s="14">
        <v>3.6499999999999998E-2</v>
      </c>
      <c r="F15" s="13" t="s">
        <v>188</v>
      </c>
      <c r="G15" s="14">
        <v>3.6499999999999998E-2</v>
      </c>
      <c r="H15" s="14">
        <v>3.6499999999999998E-2</v>
      </c>
      <c r="I15" s="14">
        <v>3.6499999999999998E-2</v>
      </c>
    </row>
    <row r="16" spans="3:9" x14ac:dyDescent="0.2">
      <c r="C16" s="15" t="s">
        <v>198</v>
      </c>
      <c r="D16" s="13" t="s">
        <v>199</v>
      </c>
      <c r="E16" s="14">
        <v>0.03</v>
      </c>
      <c r="F16" s="13" t="s">
        <v>188</v>
      </c>
      <c r="G16" s="14">
        <v>0</v>
      </c>
      <c r="H16" s="14">
        <v>2.5000000000000001E-2</v>
      </c>
      <c r="I16" s="14">
        <v>0.05</v>
      </c>
    </row>
    <row r="17" spans="3:9" ht="22.5" x14ac:dyDescent="0.2">
      <c r="C17" s="15" t="s">
        <v>200</v>
      </c>
      <c r="D17" s="13" t="s">
        <v>201</v>
      </c>
      <c r="E17" s="14">
        <v>4.4999999999999998E-2</v>
      </c>
      <c r="F17" s="13" t="s">
        <v>202</v>
      </c>
      <c r="G17" s="14">
        <v>0</v>
      </c>
      <c r="H17" s="14">
        <v>4.4999999999999998E-2</v>
      </c>
      <c r="I17" s="14">
        <v>4.4999999999999998E-2</v>
      </c>
    </row>
    <row r="18" spans="3:9" x14ac:dyDescent="0.2">
      <c r="C18" s="12" t="s">
        <v>203</v>
      </c>
      <c r="D18" s="13" t="s">
        <v>204</v>
      </c>
      <c r="E18" s="14">
        <v>0.20880000000000001</v>
      </c>
      <c r="F18" s="13" t="s">
        <v>202</v>
      </c>
      <c r="G18" s="14">
        <v>0.2034</v>
      </c>
      <c r="H18" s="14">
        <v>0.22120000000000001</v>
      </c>
      <c r="I18" s="14">
        <v>0.25</v>
      </c>
    </row>
    <row r="19" spans="3:9" x14ac:dyDescent="0.2">
      <c r="C19" s="16" t="s">
        <v>205</v>
      </c>
      <c r="D19" s="10" t="s">
        <v>206</v>
      </c>
      <c r="E19" s="17">
        <v>0.27</v>
      </c>
      <c r="F19" s="10" t="s">
        <v>202</v>
      </c>
      <c r="G19" s="154"/>
      <c r="H19" s="155"/>
      <c r="I19" s="156"/>
    </row>
    <row r="20" spans="3:9" x14ac:dyDescent="0.2">
      <c r="C20" s="146"/>
      <c r="D20" s="146"/>
      <c r="E20" s="146"/>
      <c r="F20" s="146"/>
      <c r="G20" s="146"/>
      <c r="H20" s="146"/>
      <c r="I20" s="146"/>
    </row>
    <row r="21" spans="3:9" x14ac:dyDescent="0.2">
      <c r="C21" s="147" t="s">
        <v>207</v>
      </c>
      <c r="D21" s="148"/>
      <c r="E21" s="148"/>
      <c r="F21" s="148"/>
      <c r="G21" s="148"/>
      <c r="H21" s="148"/>
      <c r="I21" s="148"/>
    </row>
    <row r="22" spans="3:9" x14ac:dyDescent="0.2">
      <c r="C22" s="148"/>
      <c r="D22" s="148"/>
      <c r="E22" s="148"/>
      <c r="F22" s="148"/>
      <c r="G22" s="148"/>
      <c r="H22" s="148"/>
      <c r="I22" s="148"/>
    </row>
    <row r="23" spans="3:9" x14ac:dyDescent="0.2">
      <c r="C23" s="148"/>
      <c r="D23" s="148"/>
      <c r="E23" s="148"/>
      <c r="F23" s="148"/>
      <c r="G23" s="148"/>
      <c r="H23" s="148"/>
      <c r="I23" s="148"/>
    </row>
    <row r="24" spans="3:9" x14ac:dyDescent="0.2">
      <c r="C24" s="148"/>
      <c r="D24" s="148"/>
      <c r="E24" s="148"/>
      <c r="F24" s="148"/>
      <c r="G24" s="148"/>
      <c r="H24" s="148"/>
      <c r="I24" s="148"/>
    </row>
    <row r="25" spans="3:9" x14ac:dyDescent="0.2">
      <c r="C25" s="148"/>
      <c r="D25" s="148"/>
      <c r="E25" s="148"/>
      <c r="F25" s="148"/>
      <c r="G25" s="148"/>
      <c r="H25" s="148"/>
      <c r="I25" s="148"/>
    </row>
    <row r="26" spans="3:9" x14ac:dyDescent="0.2">
      <c r="C26" s="148"/>
      <c r="D26" s="148"/>
      <c r="E26" s="148"/>
      <c r="F26" s="148"/>
      <c r="G26" s="148"/>
      <c r="H26" s="148"/>
      <c r="I26" s="148"/>
    </row>
    <row r="27" spans="3:9" x14ac:dyDescent="0.2">
      <c r="C27" s="149" t="s">
        <v>208</v>
      </c>
      <c r="D27" s="150"/>
      <c r="E27" s="150"/>
      <c r="F27" s="150"/>
      <c r="G27" s="150"/>
      <c r="H27" s="150"/>
      <c r="I27" s="150"/>
    </row>
    <row r="28" spans="3:9" x14ac:dyDescent="0.2">
      <c r="C28" s="150"/>
      <c r="D28" s="150"/>
      <c r="E28" s="150"/>
      <c r="F28" s="150"/>
      <c r="G28" s="150"/>
      <c r="H28" s="150"/>
      <c r="I28" s="150"/>
    </row>
    <row r="29" spans="3:9" x14ac:dyDescent="0.2">
      <c r="C29" s="18"/>
      <c r="D29" s="18"/>
      <c r="E29" s="18"/>
      <c r="F29" s="18"/>
      <c r="G29" s="18"/>
      <c r="H29" s="18"/>
      <c r="I29" s="18"/>
    </row>
    <row r="30" spans="3:9" x14ac:dyDescent="0.2">
      <c r="C30" s="149" t="s">
        <v>209</v>
      </c>
      <c r="D30" s="150"/>
      <c r="E30" s="150"/>
      <c r="F30" s="150"/>
      <c r="G30" s="150"/>
      <c r="H30" s="150"/>
      <c r="I30" s="150"/>
    </row>
    <row r="31" spans="3:9" x14ac:dyDescent="0.2">
      <c r="C31" s="150"/>
      <c r="D31" s="150"/>
      <c r="E31" s="150"/>
      <c r="F31" s="150"/>
      <c r="G31" s="150"/>
      <c r="H31" s="150"/>
      <c r="I31" s="150"/>
    </row>
    <row r="32" spans="3:9" x14ac:dyDescent="0.2">
      <c r="C32" s="19"/>
      <c r="D32" s="19"/>
      <c r="E32" s="19"/>
      <c r="F32" s="19"/>
      <c r="G32" s="19"/>
      <c r="H32" s="19"/>
      <c r="I32" s="19"/>
    </row>
    <row r="33" spans="3:9" x14ac:dyDescent="0.2">
      <c r="C33" s="151" t="s">
        <v>295</v>
      </c>
      <c r="D33" s="152" t="s">
        <v>296</v>
      </c>
      <c r="E33" s="152"/>
      <c r="F33" s="152"/>
      <c r="G33" s="152"/>
      <c r="H33" s="152"/>
      <c r="I33" s="152"/>
    </row>
    <row r="34" spans="3:9" ht="18.600000000000001" customHeight="1" x14ac:dyDescent="0.2">
      <c r="C34" s="151"/>
      <c r="D34" s="152"/>
      <c r="E34" s="152"/>
      <c r="F34" s="152"/>
      <c r="G34" s="152"/>
      <c r="H34" s="152"/>
      <c r="I34" s="152"/>
    </row>
    <row r="35" spans="3:9" ht="67.150000000000006" customHeight="1" x14ac:dyDescent="0.2">
      <c r="C35" s="21" t="s">
        <v>297</v>
      </c>
      <c r="D35" s="153" t="s">
        <v>298</v>
      </c>
      <c r="E35" s="153"/>
      <c r="F35" s="153"/>
      <c r="G35" s="153"/>
      <c r="H35" s="153"/>
      <c r="I35" s="153"/>
    </row>
    <row r="36" spans="3:9" ht="13.9" customHeight="1" x14ac:dyDescent="0.2">
      <c r="C36" s="18"/>
      <c r="D36" s="20"/>
      <c r="E36" s="20"/>
      <c r="F36" s="20"/>
      <c r="G36" s="20"/>
      <c r="H36" s="20"/>
      <c r="I36" s="20"/>
    </row>
    <row r="37" spans="3:9" ht="13.9" customHeight="1" x14ac:dyDescent="0.2">
      <c r="C37" s="18"/>
      <c r="D37" s="20"/>
      <c r="E37" s="20"/>
      <c r="F37" s="20"/>
      <c r="G37" s="20"/>
      <c r="H37" s="20"/>
      <c r="I37" s="20"/>
    </row>
    <row r="38" spans="3:9" ht="50.45" customHeight="1" x14ac:dyDescent="0.2">
      <c r="C38" s="21"/>
      <c r="D38" s="20"/>
      <c r="E38" s="20"/>
      <c r="F38" s="20"/>
      <c r="G38" s="20"/>
      <c r="H38" s="20"/>
      <c r="I38" s="20"/>
    </row>
    <row r="39" spans="3:9" ht="24.6" customHeight="1" x14ac:dyDescent="0.2">
      <c r="C39" s="18"/>
      <c r="D39" s="20"/>
      <c r="E39" s="20"/>
      <c r="F39" s="20"/>
      <c r="G39" s="20"/>
      <c r="H39" s="20"/>
      <c r="I39" s="20"/>
    </row>
    <row r="40" spans="3:9" x14ac:dyDescent="0.2">
      <c r="C40" s="145"/>
      <c r="D40" s="145"/>
      <c r="E40" s="145"/>
      <c r="F40" s="145"/>
      <c r="G40" s="145"/>
      <c r="H40" s="145"/>
      <c r="I40" s="145"/>
    </row>
  </sheetData>
  <mergeCells count="20">
    <mergeCell ref="G19:I19"/>
    <mergeCell ref="C2:I2"/>
    <mergeCell ref="C3:G3"/>
    <mergeCell ref="H3:I3"/>
    <mergeCell ref="C4:G4"/>
    <mergeCell ref="H4:I4"/>
    <mergeCell ref="C5:I5"/>
    <mergeCell ref="C6:G6"/>
    <mergeCell ref="H6:I6"/>
    <mergeCell ref="C7:G7"/>
    <mergeCell ref="H7:I7"/>
    <mergeCell ref="C8:I8"/>
    <mergeCell ref="C40:I40"/>
    <mergeCell ref="C20:I20"/>
    <mergeCell ref="C21:I26"/>
    <mergeCell ref="C27:I28"/>
    <mergeCell ref="C30:I31"/>
    <mergeCell ref="C33:C34"/>
    <mergeCell ref="D33:I34"/>
    <mergeCell ref="D35:I35"/>
  </mergeCells>
  <pageMargins left="0.511811024" right="0.511811024" top="0.78740157499999996" bottom="0.78740157499999996" header="0.31496062000000002" footer="0.31496062000000002"/>
  <pageSetup paperSize="9" orientation="portrait" copies="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R65"/>
  <sheetViews>
    <sheetView topLeftCell="A22" zoomScale="90" zoomScaleNormal="90" workbookViewId="0">
      <selection activeCell="R50" sqref="R50"/>
    </sheetView>
  </sheetViews>
  <sheetFormatPr defaultRowHeight="14.25" x14ac:dyDescent="0.2"/>
  <cols>
    <col min="4" max="4" width="6.25" customWidth="1"/>
    <col min="5" max="5" width="23.625" customWidth="1"/>
    <col min="6" max="6" width="11.375" bestFit="1" customWidth="1"/>
    <col min="7" max="7" width="7.75" customWidth="1"/>
    <col min="8" max="10" width="10.5" bestFit="1" customWidth="1"/>
    <col min="11" max="12" width="11.375" bestFit="1" customWidth="1"/>
    <col min="13" max="13" width="10.5" style="9" customWidth="1"/>
    <col min="14" max="14" width="11.375" bestFit="1" customWidth="1"/>
    <col min="16" max="16" width="12.75" bestFit="1" customWidth="1"/>
    <col min="18" max="18" width="11.875" bestFit="1" customWidth="1"/>
  </cols>
  <sheetData>
    <row r="2" spans="4:18" x14ac:dyDescent="0.2">
      <c r="D2" s="194" t="s">
        <v>210</v>
      </c>
      <c r="E2" s="194"/>
      <c r="F2" s="194"/>
      <c r="G2" s="194"/>
      <c r="H2" s="194"/>
      <c r="I2" s="194"/>
      <c r="J2" s="194"/>
      <c r="K2" s="194"/>
      <c r="L2" s="194"/>
      <c r="M2" s="194"/>
      <c r="N2" s="194"/>
    </row>
    <row r="3" spans="4:18" x14ac:dyDescent="0.2">
      <c r="D3" s="195" t="s">
        <v>403</v>
      </c>
      <c r="E3" s="195"/>
      <c r="F3" s="195"/>
      <c r="G3" s="195"/>
      <c r="H3" s="195"/>
      <c r="I3" s="195"/>
      <c r="J3" s="195"/>
      <c r="K3" s="195"/>
      <c r="L3" s="195"/>
      <c r="M3" s="195"/>
      <c r="N3" s="195"/>
    </row>
    <row r="4" spans="4:18" x14ac:dyDescent="0.2">
      <c r="D4" s="196" t="s">
        <v>224</v>
      </c>
      <c r="E4" s="196"/>
      <c r="F4" s="196"/>
      <c r="G4" s="196"/>
      <c r="H4" s="196"/>
      <c r="I4" s="196"/>
      <c r="J4" s="196"/>
      <c r="K4" s="196"/>
      <c r="L4" s="196"/>
      <c r="M4" s="196"/>
      <c r="N4" s="196"/>
    </row>
    <row r="5" spans="4:18" ht="38.25" x14ac:dyDescent="0.2">
      <c r="D5" s="58" t="s">
        <v>0</v>
      </c>
      <c r="E5" s="58" t="s">
        <v>211</v>
      </c>
      <c r="F5" s="59" t="s">
        <v>212</v>
      </c>
      <c r="G5" s="59" t="s">
        <v>213</v>
      </c>
      <c r="H5" s="59" t="s">
        <v>214</v>
      </c>
      <c r="I5" s="59" t="s">
        <v>215</v>
      </c>
      <c r="J5" s="59" t="s">
        <v>216</v>
      </c>
      <c r="K5" s="59" t="s">
        <v>217</v>
      </c>
      <c r="L5" s="59" t="s">
        <v>218</v>
      </c>
      <c r="M5" s="59" t="s">
        <v>312</v>
      </c>
      <c r="N5" s="59" t="s">
        <v>219</v>
      </c>
    </row>
    <row r="6" spans="4:18" ht="15" thickBot="1" x14ac:dyDescent="0.25">
      <c r="D6" s="194" t="s">
        <v>9</v>
      </c>
      <c r="E6" s="194"/>
      <c r="F6" s="194"/>
      <c r="G6" s="194"/>
      <c r="H6" s="194"/>
      <c r="I6" s="194"/>
      <c r="J6" s="194"/>
      <c r="K6" s="194"/>
      <c r="L6" s="194"/>
      <c r="M6" s="194"/>
      <c r="N6" s="194"/>
    </row>
    <row r="7" spans="4:18" x14ac:dyDescent="0.2">
      <c r="D7" s="186">
        <v>1</v>
      </c>
      <c r="E7" s="188" t="str">
        <f>'Orçamento Sintético'!E9</f>
        <v>SERVIÇOS PRELIMINARES</v>
      </c>
      <c r="F7" s="178">
        <f>'Orçamento Sintético'!J9</f>
        <v>10732.467231999999</v>
      </c>
      <c r="G7" s="60" t="s">
        <v>220</v>
      </c>
      <c r="H7" s="61"/>
      <c r="I7" s="62"/>
      <c r="J7" s="62"/>
      <c r="K7" s="62"/>
      <c r="L7" s="61">
        <v>1</v>
      </c>
      <c r="M7" s="62"/>
      <c r="N7" s="62"/>
      <c r="P7" s="1"/>
    </row>
    <row r="8" spans="4:18" ht="15" thickBot="1" x14ac:dyDescent="0.25">
      <c r="D8" s="187"/>
      <c r="E8" s="189"/>
      <c r="F8" s="179"/>
      <c r="G8" s="63" t="s">
        <v>221</v>
      </c>
      <c r="H8" s="64"/>
      <c r="I8" s="65"/>
      <c r="J8" s="65"/>
      <c r="K8" s="65"/>
      <c r="L8" s="64">
        <f>$F$7*L7</f>
        <v>10732.467231999999</v>
      </c>
      <c r="M8" s="65"/>
      <c r="N8" s="64">
        <f>SUM(H8:L8)</f>
        <v>10732.467231999999</v>
      </c>
      <c r="P8" s="4"/>
      <c r="R8" s="4"/>
    </row>
    <row r="9" spans="4:18" x14ac:dyDescent="0.2">
      <c r="D9" s="186">
        <v>2</v>
      </c>
      <c r="E9" s="188" t="str">
        <f>'Orçamento Sintético'!E13</f>
        <v>ESQUADRIAS METÁLICAS</v>
      </c>
      <c r="F9" s="178">
        <f>'Orçamento Sintético'!J13</f>
        <v>8170.1233599999987</v>
      </c>
      <c r="G9" s="60" t="s">
        <v>220</v>
      </c>
      <c r="H9" s="62"/>
      <c r="I9" s="62"/>
      <c r="J9" s="62"/>
      <c r="K9" s="62"/>
      <c r="L9" s="62">
        <v>0.5</v>
      </c>
      <c r="M9" s="62">
        <v>0.5</v>
      </c>
      <c r="N9" s="62"/>
      <c r="P9" s="1"/>
    </row>
    <row r="10" spans="4:18" ht="15" thickBot="1" x14ac:dyDescent="0.25">
      <c r="D10" s="187"/>
      <c r="E10" s="189"/>
      <c r="F10" s="179"/>
      <c r="G10" s="63" t="s">
        <v>221</v>
      </c>
      <c r="H10" s="64"/>
      <c r="I10" s="64"/>
      <c r="J10" s="64"/>
      <c r="K10" s="64"/>
      <c r="L10" s="64">
        <f>$F$9*L9</f>
        <v>4085.0616799999993</v>
      </c>
      <c r="M10" s="64">
        <f>$F$9*M9</f>
        <v>4085.0616799999993</v>
      </c>
      <c r="N10" s="64">
        <f>SUM(H10:L10)</f>
        <v>4085.0616799999993</v>
      </c>
      <c r="P10" s="4"/>
    </row>
    <row r="11" spans="4:18" x14ac:dyDescent="0.2">
      <c r="D11" s="186">
        <v>3</v>
      </c>
      <c r="E11" s="188" t="str">
        <f>'Orçamento Sintético'!E15</f>
        <v>ESQUADRIAS DE MADEIRA</v>
      </c>
      <c r="F11" s="178">
        <f>'Orçamento Sintético'!J15</f>
        <v>1503.4767999999999</v>
      </c>
      <c r="G11" s="60" t="s">
        <v>220</v>
      </c>
      <c r="H11" s="62"/>
      <c r="I11" s="62"/>
      <c r="J11" s="62"/>
      <c r="K11" s="62"/>
      <c r="L11" s="62">
        <v>0.5</v>
      </c>
      <c r="M11" s="62">
        <v>0.5</v>
      </c>
      <c r="N11" s="62"/>
      <c r="P11" s="1"/>
    </row>
    <row r="12" spans="4:18" ht="15" thickBot="1" x14ac:dyDescent="0.25">
      <c r="D12" s="187"/>
      <c r="E12" s="189"/>
      <c r="F12" s="179"/>
      <c r="G12" s="63" t="s">
        <v>221</v>
      </c>
      <c r="H12" s="64"/>
      <c r="I12" s="64"/>
      <c r="J12" s="64"/>
      <c r="K12" s="64"/>
      <c r="L12" s="64">
        <f>$F$11*L11</f>
        <v>751.73839999999996</v>
      </c>
      <c r="M12" s="64">
        <f>$F$11*M11</f>
        <v>751.73839999999996</v>
      </c>
      <c r="N12" s="64">
        <f>SUM(H12:L12)</f>
        <v>751.73839999999996</v>
      </c>
      <c r="P12" s="4"/>
    </row>
    <row r="13" spans="4:18" ht="15" thickBot="1" x14ac:dyDescent="0.25">
      <c r="D13" s="194" t="s">
        <v>25</v>
      </c>
      <c r="E13" s="194"/>
      <c r="F13" s="194"/>
      <c r="G13" s="194"/>
      <c r="H13" s="194"/>
      <c r="I13" s="194"/>
      <c r="J13" s="194"/>
      <c r="K13" s="194"/>
      <c r="L13" s="194"/>
      <c r="M13" s="194"/>
      <c r="N13" s="194"/>
      <c r="P13" s="1"/>
    </row>
    <row r="14" spans="4:18" x14ac:dyDescent="0.2">
      <c r="D14" s="186">
        <v>4</v>
      </c>
      <c r="E14" s="198" t="str">
        <f>'Orçamento Sintético'!E18</f>
        <v>SERVIÇOS PRELIMINARES</v>
      </c>
      <c r="F14" s="178">
        <v>8180.89</v>
      </c>
      <c r="G14" s="60" t="s">
        <v>220</v>
      </c>
      <c r="H14" s="62">
        <v>1</v>
      </c>
      <c r="I14" s="61"/>
      <c r="J14" s="61"/>
      <c r="K14" s="61"/>
      <c r="L14" s="61"/>
      <c r="M14" s="61"/>
      <c r="N14" s="62"/>
      <c r="P14" s="1"/>
    </row>
    <row r="15" spans="4:18" ht="15" thickBot="1" x14ac:dyDescent="0.25">
      <c r="D15" s="187"/>
      <c r="E15" s="189"/>
      <c r="F15" s="179"/>
      <c r="G15" s="63" t="s">
        <v>221</v>
      </c>
      <c r="H15" s="64">
        <f>$F$14*H14</f>
        <v>8180.89</v>
      </c>
      <c r="I15" s="64"/>
      <c r="J15" s="64"/>
      <c r="K15" s="64"/>
      <c r="L15" s="64"/>
      <c r="M15" s="64"/>
      <c r="N15" s="64">
        <f>SUM(H15:L15)</f>
        <v>8180.89</v>
      </c>
      <c r="P15" s="4"/>
    </row>
    <row r="16" spans="4:18" x14ac:dyDescent="0.2">
      <c r="D16" s="186">
        <v>5</v>
      </c>
      <c r="E16" s="188" t="s">
        <v>31</v>
      </c>
      <c r="F16" s="178">
        <v>7879.79</v>
      </c>
      <c r="G16" s="60" t="s">
        <v>220</v>
      </c>
      <c r="H16" s="62"/>
      <c r="I16" s="61">
        <v>1</v>
      </c>
      <c r="J16" s="61"/>
      <c r="K16" s="61"/>
      <c r="L16" s="61"/>
      <c r="M16" s="61"/>
      <c r="N16" s="62"/>
      <c r="P16" s="1"/>
    </row>
    <row r="17" spans="4:16" ht="15" thickBot="1" x14ac:dyDescent="0.25">
      <c r="D17" s="187"/>
      <c r="E17" s="189"/>
      <c r="F17" s="179"/>
      <c r="G17" s="63" t="s">
        <v>221</v>
      </c>
      <c r="H17" s="64"/>
      <c r="I17" s="64">
        <f>F16*I16</f>
        <v>7879.79</v>
      </c>
      <c r="J17" s="64"/>
      <c r="K17" s="64"/>
      <c r="L17" s="64"/>
      <c r="M17" s="64"/>
      <c r="N17" s="64">
        <f>SUM(H17:M17)</f>
        <v>7879.79</v>
      </c>
      <c r="P17" s="4"/>
    </row>
    <row r="18" spans="4:16" x14ac:dyDescent="0.2">
      <c r="D18" s="186">
        <v>6</v>
      </c>
      <c r="E18" s="188" t="s">
        <v>41</v>
      </c>
      <c r="F18" s="178">
        <v>2686.92</v>
      </c>
      <c r="G18" s="60" t="s">
        <v>220</v>
      </c>
      <c r="H18" s="62"/>
      <c r="I18" s="61">
        <v>1</v>
      </c>
      <c r="J18" s="61"/>
      <c r="K18" s="61"/>
      <c r="L18" s="61"/>
      <c r="M18" s="61"/>
      <c r="N18" s="62"/>
      <c r="P18" s="1"/>
    </row>
    <row r="19" spans="4:16" ht="15" thickBot="1" x14ac:dyDescent="0.25">
      <c r="D19" s="187"/>
      <c r="E19" s="189"/>
      <c r="F19" s="179"/>
      <c r="G19" s="63" t="s">
        <v>221</v>
      </c>
      <c r="H19" s="64"/>
      <c r="I19" s="64">
        <f>F18*I18</f>
        <v>2686.92</v>
      </c>
      <c r="J19" s="64"/>
      <c r="K19" s="64"/>
      <c r="L19" s="64"/>
      <c r="M19" s="64"/>
      <c r="N19" s="64">
        <f>SUM(H19:M19)</f>
        <v>2686.92</v>
      </c>
      <c r="P19" s="4"/>
    </row>
    <row r="20" spans="4:16" x14ac:dyDescent="0.2">
      <c r="D20" s="186">
        <v>7</v>
      </c>
      <c r="E20" s="188" t="s">
        <v>53</v>
      </c>
      <c r="F20" s="178">
        <v>14011.83</v>
      </c>
      <c r="G20" s="60" t="s">
        <v>220</v>
      </c>
      <c r="H20" s="61"/>
      <c r="I20" s="61">
        <v>0.25</v>
      </c>
      <c r="J20" s="61">
        <v>0.75</v>
      </c>
      <c r="K20" s="61"/>
      <c r="L20" s="61"/>
      <c r="M20" s="61"/>
      <c r="N20" s="62"/>
      <c r="P20" s="1"/>
    </row>
    <row r="21" spans="4:16" ht="15" thickBot="1" x14ac:dyDescent="0.25">
      <c r="D21" s="187"/>
      <c r="E21" s="189"/>
      <c r="F21" s="179"/>
      <c r="G21" s="63" t="s">
        <v>221</v>
      </c>
      <c r="H21" s="64"/>
      <c r="I21" s="64">
        <f>F20*I20</f>
        <v>3502.9575</v>
      </c>
      <c r="J21" s="64">
        <f>F20*J20</f>
        <v>10508.872499999999</v>
      </c>
      <c r="K21" s="64"/>
      <c r="L21" s="64"/>
      <c r="M21" s="64"/>
      <c r="N21" s="64"/>
      <c r="P21" s="4"/>
    </row>
    <row r="22" spans="4:16" x14ac:dyDescent="0.2">
      <c r="D22" s="186">
        <v>8</v>
      </c>
      <c r="E22" s="176" t="s">
        <v>299</v>
      </c>
      <c r="F22" s="192">
        <v>38169.39</v>
      </c>
      <c r="G22" s="60" t="s">
        <v>220</v>
      </c>
      <c r="H22" s="61"/>
      <c r="I22" s="61">
        <v>0.25</v>
      </c>
      <c r="J22" s="61">
        <v>0.25</v>
      </c>
      <c r="K22" s="61">
        <v>0.5</v>
      </c>
      <c r="L22" s="61"/>
      <c r="M22" s="61"/>
      <c r="N22" s="62"/>
      <c r="P22" s="4"/>
    </row>
    <row r="23" spans="4:16" ht="15" thickBot="1" x14ac:dyDescent="0.25">
      <c r="D23" s="187"/>
      <c r="E23" s="177"/>
      <c r="F23" s="193"/>
      <c r="G23" s="63" t="s">
        <v>221</v>
      </c>
      <c r="H23" s="64"/>
      <c r="I23" s="64">
        <f>F22*I22</f>
        <v>9542.3474999999999</v>
      </c>
      <c r="J23" s="64">
        <f>F22*J22</f>
        <v>9542.3474999999999</v>
      </c>
      <c r="K23" s="64">
        <f>F22*K22</f>
        <v>19084.695</v>
      </c>
      <c r="L23" s="64"/>
      <c r="M23" s="64"/>
      <c r="N23" s="64">
        <f>SUM(H23:M23)</f>
        <v>38169.39</v>
      </c>
      <c r="P23" s="4"/>
    </row>
    <row r="24" spans="4:16" x14ac:dyDescent="0.2">
      <c r="D24" s="186">
        <v>9</v>
      </c>
      <c r="E24" s="198" t="s">
        <v>59</v>
      </c>
      <c r="F24" s="178">
        <v>5896.23</v>
      </c>
      <c r="G24" s="60" t="s">
        <v>220</v>
      </c>
      <c r="H24" s="61"/>
      <c r="I24" s="61">
        <v>0.25</v>
      </c>
      <c r="J24" s="61">
        <v>0.25</v>
      </c>
      <c r="K24" s="61">
        <v>0.5</v>
      </c>
      <c r="L24" s="61"/>
      <c r="M24" s="61"/>
      <c r="N24" s="62"/>
      <c r="P24" s="1"/>
    </row>
    <row r="25" spans="4:16" ht="15" thickBot="1" x14ac:dyDescent="0.25">
      <c r="D25" s="187"/>
      <c r="E25" s="189"/>
      <c r="F25" s="179"/>
      <c r="G25" s="63" t="s">
        <v>221</v>
      </c>
      <c r="H25" s="64"/>
      <c r="I25" s="64">
        <f>F24*I24</f>
        <v>1474.0574999999999</v>
      </c>
      <c r="J25" s="64">
        <f>F24*J24</f>
        <v>1474.0574999999999</v>
      </c>
      <c r="K25" s="64">
        <f>F24*K24</f>
        <v>2948.1149999999998</v>
      </c>
      <c r="L25" s="64"/>
      <c r="M25" s="64"/>
      <c r="N25" s="64">
        <f>SUM(H25:M25)</f>
        <v>5896.23</v>
      </c>
      <c r="P25" s="4"/>
    </row>
    <row r="26" spans="4:16" x14ac:dyDescent="0.2">
      <c r="D26" s="186">
        <v>10</v>
      </c>
      <c r="E26" s="188" t="s">
        <v>62</v>
      </c>
      <c r="F26" s="178">
        <v>14532.46</v>
      </c>
      <c r="G26" s="60" t="s">
        <v>220</v>
      </c>
      <c r="H26" s="61"/>
      <c r="I26" s="61"/>
      <c r="J26" s="61">
        <v>0.5</v>
      </c>
      <c r="K26" s="61">
        <v>0.5</v>
      </c>
      <c r="L26" s="61"/>
      <c r="M26" s="61"/>
      <c r="N26" s="62"/>
      <c r="P26" s="1"/>
    </row>
    <row r="27" spans="4:16" ht="15" thickBot="1" x14ac:dyDescent="0.25">
      <c r="D27" s="187"/>
      <c r="E27" s="189"/>
      <c r="F27" s="179"/>
      <c r="G27" s="63" t="s">
        <v>221</v>
      </c>
      <c r="H27" s="64"/>
      <c r="I27" s="64"/>
      <c r="J27" s="64">
        <f>F26*J26</f>
        <v>7266.23</v>
      </c>
      <c r="K27" s="64">
        <f>F26*K26</f>
        <v>7266.23</v>
      </c>
      <c r="L27" s="64"/>
      <c r="M27" s="64"/>
      <c r="N27" s="64">
        <f>SUM(H27:M27)</f>
        <v>14532.46</v>
      </c>
      <c r="P27" s="4"/>
    </row>
    <row r="28" spans="4:16" x14ac:dyDescent="0.2">
      <c r="D28" s="186">
        <v>11</v>
      </c>
      <c r="E28" s="176" t="s">
        <v>300</v>
      </c>
      <c r="F28" s="178">
        <v>21898.35</v>
      </c>
      <c r="G28" s="60" t="s">
        <v>220</v>
      </c>
      <c r="H28" s="61"/>
      <c r="I28" s="61"/>
      <c r="J28" s="61"/>
      <c r="K28" s="61">
        <v>0.5</v>
      </c>
      <c r="L28" s="61">
        <v>0.5</v>
      </c>
      <c r="M28" s="61"/>
      <c r="N28" s="62"/>
      <c r="P28" s="1"/>
    </row>
    <row r="29" spans="4:16" ht="15" thickBot="1" x14ac:dyDescent="0.25">
      <c r="D29" s="187"/>
      <c r="E29" s="177"/>
      <c r="F29" s="179"/>
      <c r="G29" s="63" t="s">
        <v>221</v>
      </c>
      <c r="H29" s="64"/>
      <c r="I29" s="64"/>
      <c r="J29" s="64"/>
      <c r="K29" s="64">
        <f>F28*K28</f>
        <v>10949.174999999999</v>
      </c>
      <c r="L29" s="64">
        <f>F28*L28</f>
        <v>10949.174999999999</v>
      </c>
      <c r="M29" s="64"/>
      <c r="N29" s="64">
        <f>SUM(H29:M29)</f>
        <v>21898.35</v>
      </c>
      <c r="P29" s="4"/>
    </row>
    <row r="30" spans="4:16" s="73" customFormat="1" x14ac:dyDescent="0.2">
      <c r="D30" s="174">
        <v>12</v>
      </c>
      <c r="E30" s="190" t="s">
        <v>469</v>
      </c>
      <c r="F30" s="192">
        <v>2288.83464</v>
      </c>
      <c r="G30" s="60" t="s">
        <v>220</v>
      </c>
      <c r="H30" s="72"/>
      <c r="I30" s="72"/>
      <c r="J30" s="72"/>
      <c r="K30" s="61">
        <v>0.5</v>
      </c>
      <c r="L30" s="61">
        <v>0.5</v>
      </c>
      <c r="M30" s="72"/>
      <c r="N30" s="72"/>
      <c r="P30" s="4"/>
    </row>
    <row r="31" spans="4:16" s="73" customFormat="1" ht="15" thickBot="1" x14ac:dyDescent="0.25">
      <c r="D31" s="175"/>
      <c r="E31" s="191"/>
      <c r="F31" s="193"/>
      <c r="G31" s="63" t="s">
        <v>221</v>
      </c>
      <c r="H31" s="96"/>
      <c r="I31" s="96"/>
      <c r="J31" s="96"/>
      <c r="K31" s="96">
        <f>F30*K30</f>
        <v>1144.41732</v>
      </c>
      <c r="L31" s="96">
        <f>F30*L30</f>
        <v>1144.41732</v>
      </c>
      <c r="M31" s="96"/>
      <c r="N31" s="96"/>
      <c r="P31" s="4"/>
    </row>
    <row r="32" spans="4:16" x14ac:dyDescent="0.2">
      <c r="D32" s="174">
        <v>13</v>
      </c>
      <c r="E32" s="188" t="s">
        <v>301</v>
      </c>
      <c r="F32" s="178">
        <v>56983.17</v>
      </c>
      <c r="G32" s="60" t="s">
        <v>220</v>
      </c>
      <c r="H32" s="61"/>
      <c r="I32" s="61"/>
      <c r="J32" s="61"/>
      <c r="K32" s="61"/>
      <c r="L32" s="61">
        <v>1</v>
      </c>
      <c r="M32" s="61"/>
      <c r="N32" s="62"/>
      <c r="P32" s="1"/>
    </row>
    <row r="33" spans="4:16" ht="15" thickBot="1" x14ac:dyDescent="0.25">
      <c r="D33" s="175"/>
      <c r="E33" s="189"/>
      <c r="F33" s="179"/>
      <c r="G33" s="63" t="s">
        <v>221</v>
      </c>
      <c r="H33" s="64"/>
      <c r="I33" s="64"/>
      <c r="J33" s="64"/>
      <c r="K33" s="64"/>
      <c r="L33" s="64">
        <f>F32*L32</f>
        <v>56983.17</v>
      </c>
      <c r="M33" s="64"/>
      <c r="N33" s="64">
        <f>SUM(H33:M33)</f>
        <v>56983.17</v>
      </c>
      <c r="P33" s="4"/>
    </row>
    <row r="34" spans="4:16" x14ac:dyDescent="0.2">
      <c r="D34" s="174">
        <v>14</v>
      </c>
      <c r="E34" s="176" t="s">
        <v>302</v>
      </c>
      <c r="F34" s="178">
        <v>75393.039999999994</v>
      </c>
      <c r="G34" s="60" t="s">
        <v>220</v>
      </c>
      <c r="H34" s="61"/>
      <c r="I34" s="61"/>
      <c r="J34" s="61">
        <v>0.5</v>
      </c>
      <c r="K34" s="61">
        <v>0.5</v>
      </c>
      <c r="L34" s="61"/>
      <c r="M34" s="61"/>
      <c r="N34" s="62"/>
      <c r="P34" s="1"/>
    </row>
    <row r="35" spans="4:16" ht="15" thickBot="1" x14ac:dyDescent="0.25">
      <c r="D35" s="175"/>
      <c r="E35" s="177"/>
      <c r="F35" s="179"/>
      <c r="G35" s="63" t="s">
        <v>221</v>
      </c>
      <c r="H35" s="64"/>
      <c r="I35" s="64"/>
      <c r="J35" s="64">
        <f>F34*J34</f>
        <v>37696.519999999997</v>
      </c>
      <c r="K35" s="64">
        <f>F34*K34</f>
        <v>37696.519999999997</v>
      </c>
      <c r="L35" s="64"/>
      <c r="M35" s="64"/>
      <c r="N35" s="64">
        <f>SUM(H35:M35)</f>
        <v>75393.039999999994</v>
      </c>
      <c r="P35" s="4"/>
    </row>
    <row r="36" spans="4:16" x14ac:dyDescent="0.2">
      <c r="D36" s="174">
        <v>15</v>
      </c>
      <c r="E36" s="176" t="s">
        <v>78</v>
      </c>
      <c r="F36" s="178">
        <v>23619.46</v>
      </c>
      <c r="G36" s="60" t="s">
        <v>220</v>
      </c>
      <c r="H36" s="61"/>
      <c r="I36" s="61"/>
      <c r="J36" s="61"/>
      <c r="K36" s="61">
        <v>0.5</v>
      </c>
      <c r="L36" s="61">
        <v>0.5</v>
      </c>
      <c r="M36" s="61"/>
      <c r="N36" s="62"/>
      <c r="P36" s="1"/>
    </row>
    <row r="37" spans="4:16" ht="15" thickBot="1" x14ac:dyDescent="0.25">
      <c r="D37" s="175"/>
      <c r="E37" s="177"/>
      <c r="F37" s="179"/>
      <c r="G37" s="63" t="s">
        <v>221</v>
      </c>
      <c r="H37" s="64"/>
      <c r="I37" s="64"/>
      <c r="J37" s="64"/>
      <c r="K37" s="64">
        <f>F36*K36</f>
        <v>11809.73</v>
      </c>
      <c r="L37" s="64">
        <f>F36*L36</f>
        <v>11809.73</v>
      </c>
      <c r="M37" s="64"/>
      <c r="N37" s="64">
        <f>SUM(H37:M37)</f>
        <v>23619.46</v>
      </c>
      <c r="P37" s="4"/>
    </row>
    <row r="38" spans="4:16" x14ac:dyDescent="0.2">
      <c r="D38" s="174">
        <v>16</v>
      </c>
      <c r="E38" s="176" t="s">
        <v>20</v>
      </c>
      <c r="F38" s="178">
        <v>14643.38</v>
      </c>
      <c r="G38" s="60" t="s">
        <v>220</v>
      </c>
      <c r="H38" s="61"/>
      <c r="I38" s="61"/>
      <c r="J38" s="61"/>
      <c r="K38" s="61">
        <v>0.3</v>
      </c>
      <c r="L38" s="61">
        <v>0.35</v>
      </c>
      <c r="M38" s="61">
        <v>0.35</v>
      </c>
      <c r="N38" s="62"/>
      <c r="P38" s="1"/>
    </row>
    <row r="39" spans="4:16" ht="15" thickBot="1" x14ac:dyDescent="0.25">
      <c r="D39" s="175"/>
      <c r="E39" s="177"/>
      <c r="F39" s="179"/>
      <c r="G39" s="63" t="s">
        <v>221</v>
      </c>
      <c r="H39" s="64"/>
      <c r="I39" s="64"/>
      <c r="J39" s="64"/>
      <c r="K39" s="64">
        <f>F38*K38</f>
        <v>4393.0139999999992</v>
      </c>
      <c r="L39" s="64">
        <f>F38*L38</f>
        <v>5125.1829999999991</v>
      </c>
      <c r="M39" s="64">
        <f>F38*M38</f>
        <v>5125.1829999999991</v>
      </c>
      <c r="N39" s="64">
        <f>SUM(H39:M39)</f>
        <v>14643.379999999997</v>
      </c>
      <c r="P39" s="4"/>
    </row>
    <row r="40" spans="4:16" x14ac:dyDescent="0.2">
      <c r="D40" s="174">
        <v>17</v>
      </c>
      <c r="E40" s="176" t="s">
        <v>303</v>
      </c>
      <c r="F40" s="178">
        <v>4975.3999999999996</v>
      </c>
      <c r="G40" s="60" t="s">
        <v>220</v>
      </c>
      <c r="H40" s="61"/>
      <c r="I40" s="61"/>
      <c r="J40" s="61"/>
      <c r="K40" s="61">
        <v>0.3</v>
      </c>
      <c r="L40" s="61">
        <v>0.35</v>
      </c>
      <c r="M40" s="61">
        <v>0.35</v>
      </c>
      <c r="N40" s="62"/>
      <c r="P40" s="1"/>
    </row>
    <row r="41" spans="4:16" ht="15" thickBot="1" x14ac:dyDescent="0.25">
      <c r="D41" s="175"/>
      <c r="E41" s="177"/>
      <c r="F41" s="179"/>
      <c r="G41" s="63" t="s">
        <v>221</v>
      </c>
      <c r="H41" s="64"/>
      <c r="I41" s="64"/>
      <c r="J41" s="64"/>
      <c r="K41" s="64">
        <f>F40*K40</f>
        <v>1492.62</v>
      </c>
      <c r="L41" s="64">
        <f>F40*L40</f>
        <v>1741.3899999999999</v>
      </c>
      <c r="M41" s="64">
        <f>F40*M40</f>
        <v>1741.3899999999999</v>
      </c>
      <c r="N41" s="64">
        <f>SUM(H41:M41)</f>
        <v>4975.3999999999996</v>
      </c>
      <c r="P41" s="4"/>
    </row>
    <row r="42" spans="4:16" s="9" customFormat="1" x14ac:dyDescent="0.2">
      <c r="D42" s="174">
        <v>18</v>
      </c>
      <c r="E42" s="176" t="s">
        <v>304</v>
      </c>
      <c r="F42" s="178">
        <v>831.72</v>
      </c>
      <c r="G42" s="60" t="s">
        <v>220</v>
      </c>
      <c r="H42" s="61"/>
      <c r="I42" s="61"/>
      <c r="J42" s="61"/>
      <c r="K42" s="61"/>
      <c r="L42" s="61"/>
      <c r="M42" s="61">
        <v>1</v>
      </c>
      <c r="N42" s="62"/>
      <c r="P42" s="4"/>
    </row>
    <row r="43" spans="4:16" s="9" customFormat="1" ht="15" thickBot="1" x14ac:dyDescent="0.25">
      <c r="D43" s="175"/>
      <c r="E43" s="177"/>
      <c r="F43" s="179"/>
      <c r="G43" s="63" t="s">
        <v>221</v>
      </c>
      <c r="H43" s="64"/>
      <c r="I43" s="64"/>
      <c r="J43" s="64"/>
      <c r="K43" s="64"/>
      <c r="L43" s="64"/>
      <c r="M43" s="64">
        <f>F42*M42</f>
        <v>831.72</v>
      </c>
      <c r="N43" s="64">
        <f>SUM(H43:M43)</f>
        <v>831.72</v>
      </c>
      <c r="P43" s="4"/>
    </row>
    <row r="44" spans="4:16" s="9" customFormat="1" x14ac:dyDescent="0.2">
      <c r="D44" s="174">
        <v>19</v>
      </c>
      <c r="E44" s="176" t="s">
        <v>305</v>
      </c>
      <c r="F44" s="178">
        <v>23086.37</v>
      </c>
      <c r="G44" s="60" t="s">
        <v>220</v>
      </c>
      <c r="H44" s="61"/>
      <c r="I44" s="61"/>
      <c r="J44" s="61"/>
      <c r="K44" s="61"/>
      <c r="L44" s="61">
        <v>0.5</v>
      </c>
      <c r="M44" s="61">
        <v>0.5</v>
      </c>
      <c r="N44" s="62"/>
      <c r="P44" s="4"/>
    </row>
    <row r="45" spans="4:16" s="9" customFormat="1" ht="15" thickBot="1" x14ac:dyDescent="0.25">
      <c r="D45" s="175"/>
      <c r="E45" s="177"/>
      <c r="F45" s="179"/>
      <c r="G45" s="63" t="s">
        <v>221</v>
      </c>
      <c r="H45" s="64"/>
      <c r="I45" s="64"/>
      <c r="J45" s="64"/>
      <c r="K45" s="64"/>
      <c r="L45" s="64">
        <f>F44*L44</f>
        <v>11543.184999999999</v>
      </c>
      <c r="M45" s="64">
        <f>F44*M44</f>
        <v>11543.184999999999</v>
      </c>
      <c r="N45" s="64">
        <f>SUM(H45:M45)</f>
        <v>23086.37</v>
      </c>
      <c r="P45" s="4"/>
    </row>
    <row r="46" spans="4:16" s="9" customFormat="1" x14ac:dyDescent="0.2">
      <c r="D46" s="174">
        <v>20</v>
      </c>
      <c r="E46" s="176" t="s">
        <v>306</v>
      </c>
      <c r="F46" s="178">
        <v>633.46</v>
      </c>
      <c r="G46" s="60" t="s">
        <v>220</v>
      </c>
      <c r="H46" s="61"/>
      <c r="I46" s="61"/>
      <c r="J46" s="61"/>
      <c r="K46" s="61"/>
      <c r="L46" s="61"/>
      <c r="M46" s="61">
        <v>1</v>
      </c>
      <c r="N46" s="62"/>
      <c r="P46" s="4"/>
    </row>
    <row r="47" spans="4:16" s="9" customFormat="1" ht="15" thickBot="1" x14ac:dyDescent="0.25">
      <c r="D47" s="175"/>
      <c r="E47" s="177"/>
      <c r="F47" s="179"/>
      <c r="G47" s="63" t="s">
        <v>221</v>
      </c>
      <c r="H47" s="64"/>
      <c r="I47" s="64"/>
      <c r="J47" s="64"/>
      <c r="K47" s="64"/>
      <c r="L47" s="64"/>
      <c r="M47" s="64">
        <f>F46*M46</f>
        <v>633.46</v>
      </c>
      <c r="N47" s="64">
        <f>SUM(H47:M47)</f>
        <v>633.46</v>
      </c>
      <c r="P47" s="4"/>
    </row>
    <row r="48" spans="4:16" s="9" customFormat="1" x14ac:dyDescent="0.2">
      <c r="D48" s="174">
        <v>21</v>
      </c>
      <c r="E48" s="176" t="s">
        <v>308</v>
      </c>
      <c r="F48" s="178">
        <v>40669.550000000003</v>
      </c>
      <c r="G48" s="60" t="s">
        <v>220</v>
      </c>
      <c r="H48" s="61"/>
      <c r="I48" s="61">
        <v>0.2</v>
      </c>
      <c r="J48" s="61">
        <v>0.2</v>
      </c>
      <c r="K48" s="61">
        <v>0.2</v>
      </c>
      <c r="L48" s="61">
        <v>0.2</v>
      </c>
      <c r="M48" s="61">
        <v>0.2</v>
      </c>
      <c r="N48" s="62"/>
      <c r="P48" s="4"/>
    </row>
    <row r="49" spans="4:17" s="9" customFormat="1" ht="15" thickBot="1" x14ac:dyDescent="0.25">
      <c r="D49" s="175"/>
      <c r="E49" s="177"/>
      <c r="F49" s="179"/>
      <c r="G49" s="63" t="s">
        <v>221</v>
      </c>
      <c r="H49" s="64"/>
      <c r="I49" s="64">
        <f>F48*I48</f>
        <v>8133.9100000000008</v>
      </c>
      <c r="J49" s="64">
        <f>F48*J48</f>
        <v>8133.9100000000008</v>
      </c>
      <c r="K49" s="64">
        <f>F48*K48</f>
        <v>8133.9100000000008</v>
      </c>
      <c r="L49" s="64">
        <f>F48*L48</f>
        <v>8133.9100000000008</v>
      </c>
      <c r="M49" s="64">
        <f>F48*M48</f>
        <v>8133.9100000000008</v>
      </c>
      <c r="N49" s="64">
        <f>SUM(H49:M49)</f>
        <v>40669.550000000003</v>
      </c>
      <c r="P49" s="4"/>
    </row>
    <row r="50" spans="4:17" s="9" customFormat="1" x14ac:dyDescent="0.2">
      <c r="D50" s="174">
        <v>22</v>
      </c>
      <c r="E50" s="176" t="s">
        <v>311</v>
      </c>
      <c r="F50" s="178">
        <v>14698.2</v>
      </c>
      <c r="G50" s="60" t="s">
        <v>220</v>
      </c>
      <c r="H50" s="61">
        <v>0.2</v>
      </c>
      <c r="I50" s="61">
        <v>0.2</v>
      </c>
      <c r="J50" s="61">
        <v>0.1</v>
      </c>
      <c r="K50" s="61">
        <v>0.1</v>
      </c>
      <c r="L50" s="61">
        <v>0.2</v>
      </c>
      <c r="M50" s="61">
        <v>0.2</v>
      </c>
      <c r="N50" s="62"/>
      <c r="P50" s="4"/>
    </row>
    <row r="51" spans="4:17" s="9" customFormat="1" ht="15" thickBot="1" x14ac:dyDescent="0.25">
      <c r="D51" s="175"/>
      <c r="E51" s="177"/>
      <c r="F51" s="179"/>
      <c r="G51" s="63" t="s">
        <v>221</v>
      </c>
      <c r="H51" s="64">
        <f>F50*H50</f>
        <v>2939.6400000000003</v>
      </c>
      <c r="I51" s="64">
        <f>F50*I50</f>
        <v>2939.6400000000003</v>
      </c>
      <c r="J51" s="64">
        <f>F50*J50</f>
        <v>1469.8200000000002</v>
      </c>
      <c r="K51" s="64">
        <f>F50*K50</f>
        <v>1469.8200000000002</v>
      </c>
      <c r="L51" s="64">
        <f>F50*L50</f>
        <v>2939.6400000000003</v>
      </c>
      <c r="M51" s="64">
        <f>F50*M50</f>
        <v>2939.6400000000003</v>
      </c>
      <c r="N51" s="64">
        <f>SUM(H51:M51)</f>
        <v>14698.2</v>
      </c>
      <c r="P51" s="4"/>
    </row>
    <row r="52" spans="4:17" s="9" customFormat="1" x14ac:dyDescent="0.2">
      <c r="D52" s="174">
        <v>23</v>
      </c>
      <c r="E52" s="176" t="s">
        <v>309</v>
      </c>
      <c r="F52" s="178">
        <v>3885.21</v>
      </c>
      <c r="G52" s="60" t="s">
        <v>220</v>
      </c>
      <c r="H52" s="61"/>
      <c r="I52" s="61"/>
      <c r="J52" s="61"/>
      <c r="K52" s="61"/>
      <c r="L52" s="61"/>
      <c r="M52" s="61">
        <v>1</v>
      </c>
      <c r="N52" s="62"/>
      <c r="P52" s="4"/>
    </row>
    <row r="53" spans="4:17" s="9" customFormat="1" ht="15" thickBot="1" x14ac:dyDescent="0.25">
      <c r="D53" s="175"/>
      <c r="E53" s="177"/>
      <c r="F53" s="179"/>
      <c r="G53" s="63" t="s">
        <v>221</v>
      </c>
      <c r="H53" s="64"/>
      <c r="I53" s="64"/>
      <c r="J53" s="64"/>
      <c r="K53" s="64"/>
      <c r="L53" s="64"/>
      <c r="M53" s="64">
        <f>F52*M52</f>
        <v>3885.21</v>
      </c>
      <c r="N53" s="64">
        <f>SUM(H53:M53)</f>
        <v>3885.21</v>
      </c>
      <c r="P53" s="4"/>
    </row>
    <row r="54" spans="4:17" s="9" customFormat="1" x14ac:dyDescent="0.2">
      <c r="D54" s="174">
        <v>24</v>
      </c>
      <c r="E54" s="176" t="s">
        <v>310</v>
      </c>
      <c r="F54" s="178">
        <v>29378.91</v>
      </c>
      <c r="G54" s="60" t="s">
        <v>220</v>
      </c>
      <c r="H54" s="61">
        <v>0.2</v>
      </c>
      <c r="I54" s="61">
        <v>0.2</v>
      </c>
      <c r="J54" s="61">
        <v>0.1</v>
      </c>
      <c r="K54" s="61">
        <v>0.1</v>
      </c>
      <c r="L54" s="61">
        <v>0.2</v>
      </c>
      <c r="M54" s="61">
        <v>0.2</v>
      </c>
      <c r="N54" s="62"/>
      <c r="P54" s="4"/>
    </row>
    <row r="55" spans="4:17" s="9" customFormat="1" ht="15" thickBot="1" x14ac:dyDescent="0.25">
      <c r="D55" s="175"/>
      <c r="E55" s="177"/>
      <c r="F55" s="179"/>
      <c r="G55" s="63" t="s">
        <v>221</v>
      </c>
      <c r="H55" s="64">
        <f>F54*H54</f>
        <v>5875.7820000000002</v>
      </c>
      <c r="I55" s="64">
        <f>F54*I54</f>
        <v>5875.7820000000002</v>
      </c>
      <c r="J55" s="64">
        <f>F54*J54</f>
        <v>2937.8910000000001</v>
      </c>
      <c r="K55" s="64">
        <f>F54*K54</f>
        <v>2937.8910000000001</v>
      </c>
      <c r="L55" s="64">
        <f>F54*L54</f>
        <v>5875.7820000000002</v>
      </c>
      <c r="M55" s="64">
        <f>F54*M54</f>
        <v>5875.7820000000002</v>
      </c>
      <c r="N55" s="64">
        <f>SUM(H55:M55)</f>
        <v>29378.91</v>
      </c>
      <c r="P55" s="4"/>
    </row>
    <row r="56" spans="4:17" x14ac:dyDescent="0.2">
      <c r="D56" s="180" t="s">
        <v>222</v>
      </c>
      <c r="E56" s="181"/>
      <c r="F56" s="184">
        <f>SUM(F7:F55)</f>
        <v>424748.63203199999</v>
      </c>
      <c r="G56" s="6" t="s">
        <v>220</v>
      </c>
      <c r="H56" s="52">
        <f>H57/F56</f>
        <v>4.0014989380164789E-2</v>
      </c>
      <c r="I56" s="52">
        <f>I57/F56</f>
        <v>9.8965367584357769E-2</v>
      </c>
      <c r="J56" s="52">
        <f>J57/F56</f>
        <v>0.18606216133509765</v>
      </c>
      <c r="K56" s="52">
        <f>K57/F56</f>
        <v>0.25739020464170326</v>
      </c>
      <c r="L56" s="52">
        <f>L57/F56</f>
        <v>0.31033613693208845</v>
      </c>
      <c r="M56" s="53">
        <f>M57/F56</f>
        <v>0.1072311401265881</v>
      </c>
      <c r="N56" s="97">
        <f>SUM(H56:M56)</f>
        <v>0.99999999999999989</v>
      </c>
      <c r="O56" s="27"/>
      <c r="P56" s="27"/>
      <c r="Q56" s="27"/>
    </row>
    <row r="57" spans="4:17" ht="15" thickBot="1" x14ac:dyDescent="0.25">
      <c r="D57" s="182"/>
      <c r="E57" s="183"/>
      <c r="F57" s="185"/>
      <c r="G57" s="7" t="s">
        <v>221</v>
      </c>
      <c r="H57" s="54">
        <f>SUM(H15+H51+H55)</f>
        <v>16996.312000000002</v>
      </c>
      <c r="I57" s="54">
        <f>I17+I19+I21+I23+I25+I49+I51+I55</f>
        <v>42035.404499999997</v>
      </c>
      <c r="J57" s="54">
        <f>J21+J23+J25+J27+J35+J49+J51+J55</f>
        <v>79029.64850000001</v>
      </c>
      <c r="K57" s="54">
        <f>K23+K25+K27+K29+K31+K35+K37+K39+K41+K49+K51+K55</f>
        <v>109326.13731999999</v>
      </c>
      <c r="L57" s="54">
        <f>L8+L10+L12+L29+L31+L33+L37+L39+L41+L45+L49+L51+L55</f>
        <v>131814.849632</v>
      </c>
      <c r="M57" s="55">
        <f>M10+M12+M39+M41+M43+M45+M47+M49+M51+M53+M55</f>
        <v>45546.280079999997</v>
      </c>
      <c r="N57" s="54">
        <f>SUM(H57:M57)</f>
        <v>424748.63203199994</v>
      </c>
      <c r="O57" s="27"/>
      <c r="P57" s="28"/>
      <c r="Q57" s="27"/>
    </row>
    <row r="58" spans="4:17" ht="30.6" customHeight="1" x14ac:dyDescent="0.2"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27"/>
      <c r="P58" s="27"/>
      <c r="Q58" s="27"/>
    </row>
    <row r="59" spans="4:17" x14ac:dyDescent="0.2">
      <c r="D59" s="197" t="s">
        <v>401</v>
      </c>
      <c r="E59" s="197"/>
      <c r="F59" s="197"/>
      <c r="G59" s="197"/>
      <c r="H59" s="197"/>
      <c r="I59" s="197"/>
      <c r="J59" s="197"/>
      <c r="K59" s="197"/>
      <c r="L59" s="197"/>
      <c r="M59" s="197"/>
      <c r="N59" s="197"/>
    </row>
    <row r="60" spans="4:17" x14ac:dyDescent="0.2">
      <c r="D60" s="197"/>
      <c r="E60" s="197"/>
      <c r="F60" s="197"/>
      <c r="G60" s="197"/>
      <c r="H60" s="197"/>
      <c r="I60" s="197"/>
      <c r="J60" s="197"/>
      <c r="K60" s="197"/>
      <c r="L60" s="197"/>
      <c r="M60" s="197"/>
      <c r="N60" s="197"/>
    </row>
    <row r="61" spans="4:17" ht="13.9" customHeight="1" x14ac:dyDescent="0.2">
      <c r="D61" s="197"/>
      <c r="E61" s="197"/>
      <c r="F61" s="197"/>
      <c r="G61" s="197"/>
      <c r="H61" s="197"/>
      <c r="I61" s="197"/>
      <c r="J61" s="197"/>
      <c r="K61" s="197"/>
      <c r="L61" s="197"/>
      <c r="M61" s="197"/>
      <c r="N61" s="197"/>
    </row>
    <row r="62" spans="4:17" x14ac:dyDescent="0.2">
      <c r="D62" s="197"/>
      <c r="E62" s="197"/>
      <c r="F62" s="197"/>
      <c r="G62" s="197"/>
      <c r="H62" s="197"/>
      <c r="I62" s="197"/>
      <c r="J62" s="197"/>
      <c r="K62" s="197"/>
      <c r="L62" s="197"/>
      <c r="M62" s="197"/>
      <c r="N62" s="197"/>
    </row>
    <row r="63" spans="4:17" x14ac:dyDescent="0.2">
      <c r="D63" s="197"/>
      <c r="E63" s="197"/>
      <c r="F63" s="197"/>
      <c r="G63" s="197"/>
      <c r="H63" s="197"/>
      <c r="I63" s="197"/>
      <c r="J63" s="197"/>
      <c r="K63" s="197"/>
      <c r="L63" s="197"/>
      <c r="M63" s="197"/>
      <c r="N63" s="197"/>
    </row>
    <row r="64" spans="4:17" x14ac:dyDescent="0.2">
      <c r="D64" s="197"/>
      <c r="E64" s="197"/>
      <c r="F64" s="197"/>
      <c r="G64" s="197"/>
      <c r="H64" s="197"/>
      <c r="I64" s="197"/>
      <c r="J64" s="197"/>
      <c r="K64" s="197"/>
      <c r="L64" s="197"/>
      <c r="M64" s="197"/>
      <c r="N64" s="197"/>
    </row>
    <row r="65" spans="4:14" x14ac:dyDescent="0.2">
      <c r="D65" s="197"/>
      <c r="E65" s="197"/>
      <c r="F65" s="197"/>
      <c r="G65" s="197"/>
      <c r="H65" s="197"/>
      <c r="I65" s="197"/>
      <c r="J65" s="197"/>
      <c r="K65" s="197"/>
      <c r="L65" s="197"/>
      <c r="M65" s="197"/>
      <c r="N65" s="197"/>
    </row>
  </sheetData>
  <mergeCells count="80">
    <mergeCell ref="D59:N65"/>
    <mergeCell ref="D13:N13"/>
    <mergeCell ref="D14:D15"/>
    <mergeCell ref="E14:E15"/>
    <mergeCell ref="F14:F15"/>
    <mergeCell ref="D16:D17"/>
    <mergeCell ref="E16:E17"/>
    <mergeCell ref="F16:F17"/>
    <mergeCell ref="D18:D19"/>
    <mergeCell ref="E18:E19"/>
    <mergeCell ref="F18:F19"/>
    <mergeCell ref="D20:D21"/>
    <mergeCell ref="E20:E21"/>
    <mergeCell ref="F20:F21"/>
    <mergeCell ref="D24:D25"/>
    <mergeCell ref="E24:E25"/>
    <mergeCell ref="E9:E10"/>
    <mergeCell ref="F9:F10"/>
    <mergeCell ref="D9:D10"/>
    <mergeCell ref="D11:D12"/>
    <mergeCell ref="E11:E12"/>
    <mergeCell ref="F11:F12"/>
    <mergeCell ref="D2:N2"/>
    <mergeCell ref="D3:N3"/>
    <mergeCell ref="D4:N4"/>
    <mergeCell ref="D7:D8"/>
    <mergeCell ref="E7:E8"/>
    <mergeCell ref="F7:F8"/>
    <mergeCell ref="D6:N6"/>
    <mergeCell ref="F24:F25"/>
    <mergeCell ref="D26:D27"/>
    <mergeCell ref="E26:E27"/>
    <mergeCell ref="F26:F27"/>
    <mergeCell ref="E22:E23"/>
    <mergeCell ref="F22:F23"/>
    <mergeCell ref="D22:D23"/>
    <mergeCell ref="D28:D29"/>
    <mergeCell ref="E28:E29"/>
    <mergeCell ref="F28:F29"/>
    <mergeCell ref="D32:D33"/>
    <mergeCell ref="E32:E33"/>
    <mergeCell ref="F32:F33"/>
    <mergeCell ref="D30:D31"/>
    <mergeCell ref="E30:E31"/>
    <mergeCell ref="F30:F31"/>
    <mergeCell ref="D34:D35"/>
    <mergeCell ref="E34:E35"/>
    <mergeCell ref="F34:F35"/>
    <mergeCell ref="D36:D37"/>
    <mergeCell ref="E36:E37"/>
    <mergeCell ref="F36:F37"/>
    <mergeCell ref="D38:D39"/>
    <mergeCell ref="E38:E39"/>
    <mergeCell ref="F38:F39"/>
    <mergeCell ref="D56:E57"/>
    <mergeCell ref="F56:F57"/>
    <mergeCell ref="D40:D41"/>
    <mergeCell ref="E40:E41"/>
    <mergeCell ref="F40:F41"/>
    <mergeCell ref="D42:D43"/>
    <mergeCell ref="E42:E43"/>
    <mergeCell ref="F42:F43"/>
    <mergeCell ref="D44:D45"/>
    <mergeCell ref="E44:E45"/>
    <mergeCell ref="F44:F45"/>
    <mergeCell ref="D46:D47"/>
    <mergeCell ref="E46:E47"/>
    <mergeCell ref="F46:F47"/>
    <mergeCell ref="D48:D49"/>
    <mergeCell ref="E48:E49"/>
    <mergeCell ref="F48:F49"/>
    <mergeCell ref="D50:D51"/>
    <mergeCell ref="E50:E51"/>
    <mergeCell ref="F50:F51"/>
    <mergeCell ref="D52:D53"/>
    <mergeCell ref="E52:E53"/>
    <mergeCell ref="F52:F53"/>
    <mergeCell ref="D54:D55"/>
    <mergeCell ref="E54:E55"/>
    <mergeCell ref="F54:F55"/>
  </mergeCells>
  <pageMargins left="0.31496062992125984" right="0.31496062992125984" top="0.39370078740157483" bottom="0.39370078740157483" header="0.31496062992125984" footer="0.31496062992125984"/>
  <pageSetup paperSize="9" orientation="landscape" copies="2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3"/>
  <sheetViews>
    <sheetView view="pageBreakPreview" zoomScale="60" zoomScaleNormal="90" workbookViewId="0">
      <selection activeCell="R18" sqref="R18"/>
    </sheetView>
  </sheetViews>
  <sheetFormatPr defaultRowHeight="14.25" x14ac:dyDescent="0.2"/>
  <cols>
    <col min="1" max="1" width="8.75" style="9"/>
    <col min="5" max="5" width="61.125" customWidth="1"/>
    <col min="6" max="6" width="17.875" bestFit="1" customWidth="1"/>
    <col min="7" max="7" width="34.125" style="29" customWidth="1"/>
    <col min="8" max="8" width="10" style="29" customWidth="1"/>
    <col min="9" max="9" width="8.75" style="9"/>
  </cols>
  <sheetData>
    <row r="1" spans="2:9" ht="30.6" customHeight="1" x14ac:dyDescent="0.2">
      <c r="B1" s="203" t="s">
        <v>313</v>
      </c>
      <c r="C1" s="204"/>
      <c r="D1" s="204"/>
      <c r="E1" s="204"/>
      <c r="F1" s="204"/>
      <c r="G1" s="204"/>
      <c r="H1" s="204"/>
      <c r="I1" s="204"/>
    </row>
    <row r="2" spans="2:9" ht="18" x14ac:dyDescent="0.2">
      <c r="B2" s="201" t="s">
        <v>470</v>
      </c>
      <c r="C2" s="201"/>
      <c r="D2" s="201"/>
      <c r="E2" s="201"/>
      <c r="F2" s="201"/>
      <c r="G2" s="201"/>
      <c r="H2" s="201"/>
      <c r="I2" s="201"/>
    </row>
    <row r="3" spans="2:9" ht="18" x14ac:dyDescent="0.2">
      <c r="B3" s="202" t="s">
        <v>471</v>
      </c>
      <c r="C3" s="202"/>
      <c r="D3" s="202"/>
      <c r="E3" s="202"/>
      <c r="F3" s="202"/>
      <c r="G3" s="202"/>
      <c r="H3" s="202"/>
      <c r="I3" s="202"/>
    </row>
    <row r="4" spans="2:9" ht="18" x14ac:dyDescent="0.2">
      <c r="B4" s="201" t="s">
        <v>251</v>
      </c>
      <c r="C4" s="201"/>
      <c r="D4" s="201"/>
      <c r="E4" s="201"/>
      <c r="F4" s="201"/>
      <c r="G4" s="201"/>
      <c r="H4" s="201"/>
      <c r="I4" s="201"/>
    </row>
    <row r="5" spans="2:9" ht="36" x14ac:dyDescent="0.2">
      <c r="B5" s="98" t="s">
        <v>0</v>
      </c>
      <c r="C5" s="99" t="s">
        <v>1</v>
      </c>
      <c r="D5" s="100" t="s">
        <v>2</v>
      </c>
      <c r="E5" s="98" t="s">
        <v>3</v>
      </c>
      <c r="F5" s="101" t="s">
        <v>314</v>
      </c>
      <c r="G5" s="101" t="s">
        <v>316</v>
      </c>
      <c r="H5" s="101" t="s">
        <v>315</v>
      </c>
      <c r="I5" s="102" t="s">
        <v>4</v>
      </c>
    </row>
    <row r="6" spans="2:9" ht="18" x14ac:dyDescent="0.2">
      <c r="B6" s="103"/>
      <c r="C6" s="104"/>
      <c r="D6" s="104"/>
      <c r="E6" s="103" t="s">
        <v>9</v>
      </c>
      <c r="F6" s="105"/>
      <c r="G6" s="105"/>
      <c r="H6" s="105"/>
      <c r="I6" s="104"/>
    </row>
    <row r="7" spans="2:9" ht="18" x14ac:dyDescent="0.2">
      <c r="B7" s="106">
        <v>1</v>
      </c>
      <c r="C7" s="107"/>
      <c r="D7" s="107"/>
      <c r="E7" s="106" t="s">
        <v>10</v>
      </c>
      <c r="F7" s="108"/>
      <c r="G7" s="109"/>
      <c r="H7" s="109"/>
      <c r="I7" s="107"/>
    </row>
    <row r="8" spans="2:9" ht="36" x14ac:dyDescent="0.2">
      <c r="B8" s="110" t="s">
        <v>255</v>
      </c>
      <c r="C8" s="111" t="s">
        <v>11</v>
      </c>
      <c r="D8" s="111" t="s">
        <v>12</v>
      </c>
      <c r="E8" s="110" t="s">
        <v>13</v>
      </c>
      <c r="F8" s="112" t="s">
        <v>334</v>
      </c>
      <c r="G8" s="112" t="s">
        <v>320</v>
      </c>
      <c r="H8" s="112">
        <v>6.72</v>
      </c>
      <c r="I8" s="111" t="s">
        <v>14</v>
      </c>
    </row>
    <row r="9" spans="2:9" ht="36" x14ac:dyDescent="0.2">
      <c r="B9" s="110" t="s">
        <v>256</v>
      </c>
      <c r="C9" s="111" t="s">
        <v>15</v>
      </c>
      <c r="D9" s="111" t="s">
        <v>12</v>
      </c>
      <c r="E9" s="110" t="s">
        <v>16</v>
      </c>
      <c r="F9" s="112" t="s">
        <v>335</v>
      </c>
      <c r="G9" s="112" t="s">
        <v>319</v>
      </c>
      <c r="H9" s="112">
        <v>11.2</v>
      </c>
      <c r="I9" s="111" t="s">
        <v>14</v>
      </c>
    </row>
    <row r="10" spans="2:9" ht="54" x14ac:dyDescent="0.2">
      <c r="B10" s="110" t="s">
        <v>257</v>
      </c>
      <c r="C10" s="111" t="s">
        <v>17</v>
      </c>
      <c r="D10" s="111" t="s">
        <v>12</v>
      </c>
      <c r="E10" s="110" t="s">
        <v>18</v>
      </c>
      <c r="F10" s="112" t="s">
        <v>318</v>
      </c>
      <c r="G10" s="112" t="s">
        <v>317</v>
      </c>
      <c r="H10" s="112">
        <v>124.8</v>
      </c>
      <c r="I10" s="111" t="s">
        <v>19</v>
      </c>
    </row>
    <row r="11" spans="2:9" ht="18" x14ac:dyDescent="0.2">
      <c r="B11" s="106">
        <v>2</v>
      </c>
      <c r="C11" s="107"/>
      <c r="D11" s="107"/>
      <c r="E11" s="106" t="s">
        <v>20</v>
      </c>
      <c r="F11" s="108"/>
      <c r="G11" s="109"/>
      <c r="H11" s="109"/>
      <c r="I11" s="107"/>
    </row>
    <row r="12" spans="2:9" ht="90" x14ac:dyDescent="0.2">
      <c r="B12" s="110" t="s">
        <v>258</v>
      </c>
      <c r="C12" s="111" t="s">
        <v>21</v>
      </c>
      <c r="D12" s="111" t="s">
        <v>12</v>
      </c>
      <c r="E12" s="110" t="s">
        <v>22</v>
      </c>
      <c r="F12" s="112" t="s">
        <v>335</v>
      </c>
      <c r="G12" s="112" t="s">
        <v>319</v>
      </c>
      <c r="H12" s="112">
        <v>11.2</v>
      </c>
      <c r="I12" s="111" t="s">
        <v>14</v>
      </c>
    </row>
    <row r="13" spans="2:9" ht="18" x14ac:dyDescent="0.2">
      <c r="B13" s="106">
        <v>3</v>
      </c>
      <c r="C13" s="107"/>
      <c r="D13" s="107"/>
      <c r="E13" s="106" t="s">
        <v>23</v>
      </c>
      <c r="F13" s="108"/>
      <c r="G13" s="109"/>
      <c r="H13" s="109"/>
      <c r="I13" s="107"/>
    </row>
    <row r="14" spans="2:9" ht="82.15" customHeight="1" x14ac:dyDescent="0.2">
      <c r="B14" s="110" t="s">
        <v>259</v>
      </c>
      <c r="C14" s="113">
        <v>39488</v>
      </c>
      <c r="D14" s="111" t="s">
        <v>12</v>
      </c>
      <c r="E14" s="114" t="s">
        <v>412</v>
      </c>
      <c r="F14" s="112" t="s">
        <v>335</v>
      </c>
      <c r="G14" s="112" t="s">
        <v>320</v>
      </c>
      <c r="H14" s="112">
        <v>4</v>
      </c>
      <c r="I14" s="111" t="s">
        <v>24</v>
      </c>
    </row>
    <row r="15" spans="2:9" ht="18" x14ac:dyDescent="0.2">
      <c r="B15" s="103"/>
      <c r="C15" s="104"/>
      <c r="D15" s="104"/>
      <c r="E15" s="103" t="s">
        <v>25</v>
      </c>
      <c r="F15" s="105"/>
      <c r="G15" s="105"/>
      <c r="H15" s="105"/>
      <c r="I15" s="104"/>
    </row>
    <row r="16" spans="2:9" ht="18" x14ac:dyDescent="0.2">
      <c r="B16" s="106">
        <v>4</v>
      </c>
      <c r="C16" s="107"/>
      <c r="D16" s="107"/>
      <c r="E16" s="106" t="s">
        <v>10</v>
      </c>
      <c r="F16" s="108"/>
      <c r="G16" s="109"/>
      <c r="H16" s="109"/>
      <c r="I16" s="107"/>
    </row>
    <row r="17" spans="2:13" ht="36" x14ac:dyDescent="0.2">
      <c r="B17" s="110" t="s">
        <v>260</v>
      </c>
      <c r="C17" s="111" t="s">
        <v>26</v>
      </c>
      <c r="D17" s="111" t="s">
        <v>12</v>
      </c>
      <c r="E17" s="110" t="s">
        <v>27</v>
      </c>
      <c r="F17" s="112" t="s">
        <v>336</v>
      </c>
      <c r="G17" s="112">
        <v>898.76</v>
      </c>
      <c r="H17" s="112">
        <v>898.76</v>
      </c>
      <c r="I17" s="111" t="s">
        <v>14</v>
      </c>
    </row>
    <row r="18" spans="2:13" ht="72" x14ac:dyDescent="0.2">
      <c r="B18" s="110" t="s">
        <v>262</v>
      </c>
      <c r="C18" s="111" t="s">
        <v>28</v>
      </c>
      <c r="D18" s="111" t="s">
        <v>12</v>
      </c>
      <c r="E18" s="110" t="s">
        <v>29</v>
      </c>
      <c r="F18" s="112" t="s">
        <v>337</v>
      </c>
      <c r="G18" s="112">
        <v>122.3</v>
      </c>
      <c r="H18" s="112">
        <v>122.3</v>
      </c>
      <c r="I18" s="111" t="s">
        <v>30</v>
      </c>
    </row>
    <row r="19" spans="2:13" ht="18" x14ac:dyDescent="0.2">
      <c r="B19" s="106" t="s">
        <v>261</v>
      </c>
      <c r="C19" s="107"/>
      <c r="D19" s="107"/>
      <c r="E19" s="106" t="s">
        <v>31</v>
      </c>
      <c r="F19" s="108"/>
      <c r="G19" s="109"/>
      <c r="H19" s="109"/>
      <c r="I19" s="107"/>
    </row>
    <row r="20" spans="2:13" ht="90" x14ac:dyDescent="0.2">
      <c r="B20" s="110" t="s">
        <v>225</v>
      </c>
      <c r="C20" s="111" t="s">
        <v>32</v>
      </c>
      <c r="D20" s="111" t="s">
        <v>12</v>
      </c>
      <c r="E20" s="110" t="s">
        <v>33</v>
      </c>
      <c r="F20" s="112" t="s">
        <v>338</v>
      </c>
      <c r="G20" s="112" t="s">
        <v>321</v>
      </c>
      <c r="H20" s="112">
        <v>90</v>
      </c>
      <c r="I20" s="111" t="s">
        <v>30</v>
      </c>
    </row>
    <row r="21" spans="2:13" ht="54" x14ac:dyDescent="0.2">
      <c r="B21" s="110" t="s">
        <v>226</v>
      </c>
      <c r="C21" s="111" t="s">
        <v>34</v>
      </c>
      <c r="D21" s="111" t="s">
        <v>12</v>
      </c>
      <c r="E21" s="110" t="s">
        <v>35</v>
      </c>
      <c r="F21" s="112" t="s">
        <v>339</v>
      </c>
      <c r="G21" s="112" t="s">
        <v>322</v>
      </c>
      <c r="H21" s="112">
        <v>54.13</v>
      </c>
      <c r="I21" s="111" t="s">
        <v>36</v>
      </c>
    </row>
    <row r="22" spans="2:13" ht="54" x14ac:dyDescent="0.2">
      <c r="B22" s="110" t="s">
        <v>227</v>
      </c>
      <c r="C22" s="111" t="s">
        <v>37</v>
      </c>
      <c r="D22" s="111" t="s">
        <v>12</v>
      </c>
      <c r="E22" s="110" t="s">
        <v>38</v>
      </c>
      <c r="F22" s="112" t="s">
        <v>339</v>
      </c>
      <c r="G22" s="112" t="s">
        <v>323</v>
      </c>
      <c r="H22" s="112">
        <v>163.04</v>
      </c>
      <c r="I22" s="111" t="s">
        <v>36</v>
      </c>
    </row>
    <row r="23" spans="2:13" ht="54" x14ac:dyDescent="0.2">
      <c r="B23" s="110" t="s">
        <v>228</v>
      </c>
      <c r="C23" s="111" t="s">
        <v>39</v>
      </c>
      <c r="D23" s="111" t="s">
        <v>12</v>
      </c>
      <c r="E23" s="110" t="s">
        <v>40</v>
      </c>
      <c r="F23" s="112" t="s">
        <v>340</v>
      </c>
      <c r="G23" s="112" t="s">
        <v>324</v>
      </c>
      <c r="H23" s="112">
        <v>6.35</v>
      </c>
      <c r="I23" s="111" t="s">
        <v>19</v>
      </c>
    </row>
    <row r="24" spans="2:13" ht="18" x14ac:dyDescent="0.2">
      <c r="B24" s="106" t="s">
        <v>263</v>
      </c>
      <c r="C24" s="107"/>
      <c r="D24" s="107"/>
      <c r="E24" s="106" t="s">
        <v>41</v>
      </c>
      <c r="F24" s="108"/>
      <c r="G24" s="109"/>
      <c r="H24" s="109"/>
      <c r="I24" s="107"/>
    </row>
    <row r="25" spans="2:13" ht="36.75" customHeight="1" x14ac:dyDescent="0.2">
      <c r="B25" s="110" t="s">
        <v>229</v>
      </c>
      <c r="C25" s="111" t="s">
        <v>42</v>
      </c>
      <c r="D25" s="111" t="s">
        <v>12</v>
      </c>
      <c r="E25" s="110" t="s">
        <v>43</v>
      </c>
      <c r="F25" s="112" t="s">
        <v>343</v>
      </c>
      <c r="G25" s="112" t="s">
        <v>325</v>
      </c>
      <c r="H25" s="115">
        <f>0.55*0.55*0.55*30</f>
        <v>4.9912500000000017</v>
      </c>
      <c r="I25" s="111" t="s">
        <v>19</v>
      </c>
    </row>
    <row r="26" spans="2:13" ht="54" x14ac:dyDescent="0.2">
      <c r="B26" s="110" t="s">
        <v>230</v>
      </c>
      <c r="C26" s="111" t="s">
        <v>37</v>
      </c>
      <c r="D26" s="111" t="s">
        <v>12</v>
      </c>
      <c r="E26" s="110" t="s">
        <v>38</v>
      </c>
      <c r="F26" s="112" t="s">
        <v>341</v>
      </c>
      <c r="G26" s="112" t="s">
        <v>377</v>
      </c>
      <c r="H26" s="115">
        <f>524.7*0.145</f>
        <v>76.081500000000005</v>
      </c>
      <c r="I26" s="111" t="s">
        <v>36</v>
      </c>
      <c r="K26">
        <f>3*1.96*30</f>
        <v>176.4</v>
      </c>
    </row>
    <row r="27" spans="2:13" ht="54" x14ac:dyDescent="0.2">
      <c r="B27" s="110" t="s">
        <v>231</v>
      </c>
      <c r="C27" s="111" t="s">
        <v>48</v>
      </c>
      <c r="D27" s="111" t="s">
        <v>12</v>
      </c>
      <c r="E27" s="110" t="s">
        <v>49</v>
      </c>
      <c r="F27" s="112" t="s">
        <v>342</v>
      </c>
      <c r="G27" s="112" t="s">
        <v>378</v>
      </c>
      <c r="H27" s="115">
        <f>0.55*0.55*0.55*30</f>
        <v>4.9912500000000017</v>
      </c>
      <c r="I27" s="111" t="s">
        <v>19</v>
      </c>
      <c r="K27">
        <f>3*1.94*30</f>
        <v>174.60000000000002</v>
      </c>
    </row>
    <row r="28" spans="2:13" ht="18" x14ac:dyDescent="0.2">
      <c r="B28" s="106" t="s">
        <v>264</v>
      </c>
      <c r="C28" s="107"/>
      <c r="D28" s="107"/>
      <c r="E28" s="106" t="s">
        <v>53</v>
      </c>
      <c r="F28" s="108"/>
      <c r="G28" s="109"/>
      <c r="H28" s="116"/>
      <c r="I28" s="107"/>
    </row>
    <row r="29" spans="2:13" ht="54" x14ac:dyDescent="0.2">
      <c r="B29" s="110" t="s">
        <v>232</v>
      </c>
      <c r="C29" s="111" t="s">
        <v>42</v>
      </c>
      <c r="D29" s="111" t="s">
        <v>12</v>
      </c>
      <c r="E29" s="110" t="s">
        <v>43</v>
      </c>
      <c r="F29" s="112" t="s">
        <v>344</v>
      </c>
      <c r="G29" s="112" t="s">
        <v>397</v>
      </c>
      <c r="H29" s="115">
        <f>243.54*0.2*0.3</f>
        <v>14.612399999999999</v>
      </c>
      <c r="I29" s="111" t="s">
        <v>19</v>
      </c>
    </row>
    <row r="30" spans="2:13" ht="72" x14ac:dyDescent="0.2">
      <c r="B30" s="110" t="s">
        <v>233</v>
      </c>
      <c r="C30" s="111" t="s">
        <v>44</v>
      </c>
      <c r="D30" s="111" t="s">
        <v>12</v>
      </c>
      <c r="E30" s="110" t="s">
        <v>45</v>
      </c>
      <c r="F30" s="112" t="s">
        <v>345</v>
      </c>
      <c r="G30" s="112" t="s">
        <v>398</v>
      </c>
      <c r="H30" s="115">
        <f>243.54*0.2*0.05</f>
        <v>2.4354</v>
      </c>
      <c r="I30" s="111" t="s">
        <v>19</v>
      </c>
    </row>
    <row r="31" spans="2:13" ht="36" customHeight="1" x14ac:dyDescent="0.2">
      <c r="B31" s="110" t="s">
        <v>234</v>
      </c>
      <c r="C31" s="111" t="s">
        <v>46</v>
      </c>
      <c r="D31" s="111" t="s">
        <v>12</v>
      </c>
      <c r="E31" s="110" t="s">
        <v>47</v>
      </c>
      <c r="F31" s="112" t="s">
        <v>348</v>
      </c>
      <c r="G31" s="112" t="s">
        <v>399</v>
      </c>
      <c r="H31" s="115">
        <f>243.54*0.25*2</f>
        <v>121.77</v>
      </c>
      <c r="I31" s="111" t="s">
        <v>14</v>
      </c>
      <c r="L31" t="s">
        <v>400</v>
      </c>
    </row>
    <row r="32" spans="2:13" ht="54" x14ac:dyDescent="0.2">
      <c r="B32" s="110" t="s">
        <v>235</v>
      </c>
      <c r="C32" s="111" t="s">
        <v>34</v>
      </c>
      <c r="D32" s="111" t="s">
        <v>12</v>
      </c>
      <c r="E32" s="110" t="s">
        <v>35</v>
      </c>
      <c r="F32" s="112" t="s">
        <v>346</v>
      </c>
      <c r="G32" s="112" t="s">
        <v>394</v>
      </c>
      <c r="H32" s="115">
        <f>2030*0.88*0.145</f>
        <v>259.02800000000002</v>
      </c>
      <c r="I32" s="111" t="s">
        <v>36</v>
      </c>
      <c r="K32" t="s">
        <v>351</v>
      </c>
      <c r="L32" t="s">
        <v>381</v>
      </c>
      <c r="M32">
        <f>243.54/0.12</f>
        <v>2029.5</v>
      </c>
    </row>
    <row r="33" spans="2:15" ht="54" x14ac:dyDescent="0.2">
      <c r="B33" s="110" t="s">
        <v>236</v>
      </c>
      <c r="C33" s="111" t="s">
        <v>37</v>
      </c>
      <c r="D33" s="111" t="s">
        <v>12</v>
      </c>
      <c r="E33" s="110" t="s">
        <v>38</v>
      </c>
      <c r="F33" s="112" t="s">
        <v>346</v>
      </c>
      <c r="G33" s="112" t="s">
        <v>395</v>
      </c>
      <c r="H33" s="115">
        <f>243.54*4*0.383</f>
        <v>373.10327999999998</v>
      </c>
      <c r="I33" s="111" t="s">
        <v>36</v>
      </c>
      <c r="K33" t="s">
        <v>383</v>
      </c>
      <c r="L33">
        <f>4*243.54</f>
        <v>974.16</v>
      </c>
      <c r="M33" t="s">
        <v>384</v>
      </c>
      <c r="N33">
        <v>389.36099999999999</v>
      </c>
      <c r="O33" t="s">
        <v>385</v>
      </c>
    </row>
    <row r="34" spans="2:15" ht="54" x14ac:dyDescent="0.2">
      <c r="B34" s="110" t="s">
        <v>237</v>
      </c>
      <c r="C34" s="111" t="s">
        <v>54</v>
      </c>
      <c r="D34" s="111" t="s">
        <v>12</v>
      </c>
      <c r="E34" s="110" t="s">
        <v>55</v>
      </c>
      <c r="F34" s="112" t="s">
        <v>346</v>
      </c>
      <c r="G34" s="112">
        <v>11.55</v>
      </c>
      <c r="H34" s="115">
        <v>11.55</v>
      </c>
      <c r="I34" s="111" t="s">
        <v>36</v>
      </c>
      <c r="K34" t="s">
        <v>382</v>
      </c>
      <c r="L34">
        <v>1649.12</v>
      </c>
      <c r="M34" t="s">
        <v>384</v>
      </c>
      <c r="N34" t="s">
        <v>386</v>
      </c>
    </row>
    <row r="35" spans="2:15" ht="54" x14ac:dyDescent="0.2">
      <c r="B35" s="110" t="s">
        <v>238</v>
      </c>
      <c r="C35" s="111" t="s">
        <v>48</v>
      </c>
      <c r="D35" s="111" t="s">
        <v>12</v>
      </c>
      <c r="E35" s="110" t="s">
        <v>49</v>
      </c>
      <c r="F35" s="112" t="s">
        <v>347</v>
      </c>
      <c r="G35" s="112" t="s">
        <v>397</v>
      </c>
      <c r="H35" s="115">
        <v>11.98</v>
      </c>
      <c r="I35" s="111" t="s">
        <v>19</v>
      </c>
    </row>
    <row r="36" spans="2:15" ht="18" x14ac:dyDescent="0.2">
      <c r="B36" s="106" t="s">
        <v>265</v>
      </c>
      <c r="C36" s="107"/>
      <c r="D36" s="107"/>
      <c r="E36" s="106" t="s">
        <v>56</v>
      </c>
      <c r="F36" s="108"/>
      <c r="G36" s="109"/>
      <c r="H36" s="116"/>
      <c r="I36" s="107"/>
    </row>
    <row r="37" spans="2:15" ht="108" x14ac:dyDescent="0.2">
      <c r="B37" s="110" t="s">
        <v>239</v>
      </c>
      <c r="C37" s="111" t="s">
        <v>57</v>
      </c>
      <c r="D37" s="111" t="s">
        <v>12</v>
      </c>
      <c r="E37" s="110" t="s">
        <v>58</v>
      </c>
      <c r="F37" s="112" t="s">
        <v>349</v>
      </c>
      <c r="G37" s="112" t="s">
        <v>387</v>
      </c>
      <c r="H37" s="115">
        <f>15.52+(3.2*68.29+3.2*101.11)</f>
        <v>557.6</v>
      </c>
      <c r="I37" s="111" t="s">
        <v>14</v>
      </c>
      <c r="L37">
        <f>243.54*4</f>
        <v>974.16</v>
      </c>
    </row>
    <row r="38" spans="2:15" ht="18" x14ac:dyDescent="0.2">
      <c r="B38" s="117" t="s">
        <v>266</v>
      </c>
      <c r="C38" s="118"/>
      <c r="D38" s="118"/>
      <c r="E38" s="117" t="s">
        <v>59</v>
      </c>
      <c r="F38" s="119"/>
      <c r="G38" s="119"/>
      <c r="H38" s="120"/>
      <c r="I38" s="118"/>
    </row>
    <row r="39" spans="2:15" ht="54" x14ac:dyDescent="0.2">
      <c r="B39" s="110" t="s">
        <v>240</v>
      </c>
      <c r="C39" s="111" t="s">
        <v>46</v>
      </c>
      <c r="D39" s="111" t="s">
        <v>12</v>
      </c>
      <c r="E39" s="110" t="s">
        <v>47</v>
      </c>
      <c r="F39" s="112" t="s">
        <v>352</v>
      </c>
      <c r="G39" s="112" t="s">
        <v>326</v>
      </c>
      <c r="H39" s="115">
        <f>0.3*2*3.2*30</f>
        <v>57.599999999999994</v>
      </c>
      <c r="I39" s="111" t="s">
        <v>14</v>
      </c>
    </row>
    <row r="40" spans="2:15" ht="54" x14ac:dyDescent="0.2">
      <c r="B40" s="110" t="s">
        <v>241</v>
      </c>
      <c r="C40" s="111" t="s">
        <v>34</v>
      </c>
      <c r="D40" s="111" t="s">
        <v>12</v>
      </c>
      <c r="E40" s="110" t="s">
        <v>35</v>
      </c>
      <c r="F40" s="112" t="s">
        <v>353</v>
      </c>
      <c r="G40" s="112" t="s">
        <v>392</v>
      </c>
      <c r="H40" s="115">
        <f>(27*0.72*30)*0.16</f>
        <v>93.311999999999998</v>
      </c>
      <c r="I40" s="111" t="s">
        <v>36</v>
      </c>
      <c r="K40" t="s">
        <v>350</v>
      </c>
      <c r="L40" t="s">
        <v>390</v>
      </c>
    </row>
    <row r="41" spans="2:15" ht="54" x14ac:dyDescent="0.2">
      <c r="B41" s="110" t="s">
        <v>242</v>
      </c>
      <c r="C41" s="111" t="s">
        <v>60</v>
      </c>
      <c r="D41" s="111" t="s">
        <v>12</v>
      </c>
      <c r="E41" s="110" t="s">
        <v>61</v>
      </c>
      <c r="F41" s="112" t="s">
        <v>353</v>
      </c>
      <c r="G41" s="112" t="s">
        <v>391</v>
      </c>
      <c r="H41" s="115">
        <f>(30*4*3.65)*0.6</f>
        <v>262.8</v>
      </c>
      <c r="I41" s="111" t="s">
        <v>36</v>
      </c>
      <c r="K41" t="s">
        <v>388</v>
      </c>
      <c r="L41">
        <f>170/0.145</f>
        <v>1172.4137931034484</v>
      </c>
      <c r="M41" t="s">
        <v>384</v>
      </c>
      <c r="N41">
        <v>170</v>
      </c>
      <c r="O41" t="s">
        <v>385</v>
      </c>
    </row>
    <row r="42" spans="2:15" ht="54" x14ac:dyDescent="0.2">
      <c r="B42" s="110" t="s">
        <v>243</v>
      </c>
      <c r="C42" s="111" t="s">
        <v>48</v>
      </c>
      <c r="D42" s="111" t="s">
        <v>12</v>
      </c>
      <c r="E42" s="110" t="s">
        <v>49</v>
      </c>
      <c r="F42" s="112" t="s">
        <v>354</v>
      </c>
      <c r="G42" s="112" t="s">
        <v>393</v>
      </c>
      <c r="H42" s="115">
        <f>0.15*0.35*3.2*30</f>
        <v>5.04</v>
      </c>
      <c r="I42" s="111" t="s">
        <v>19</v>
      </c>
      <c r="K42" t="s">
        <v>389</v>
      </c>
      <c r="L42">
        <f>442/0.6</f>
        <v>736.66666666666674</v>
      </c>
      <c r="M42" t="s">
        <v>384</v>
      </c>
      <c r="N42">
        <v>442</v>
      </c>
      <c r="O42" t="s">
        <v>385</v>
      </c>
    </row>
    <row r="43" spans="2:15" ht="54" x14ac:dyDescent="0.2">
      <c r="B43" s="110" t="s">
        <v>244</v>
      </c>
      <c r="C43" s="111" t="s">
        <v>50</v>
      </c>
      <c r="D43" s="111" t="s">
        <v>12</v>
      </c>
      <c r="E43" s="110" t="s">
        <v>51</v>
      </c>
      <c r="F43" s="112" t="s">
        <v>355</v>
      </c>
      <c r="G43" s="112">
        <v>2</v>
      </c>
      <c r="H43" s="115">
        <v>2</v>
      </c>
      <c r="I43" s="111" t="s">
        <v>52</v>
      </c>
    </row>
    <row r="44" spans="2:15" ht="18" x14ac:dyDescent="0.2">
      <c r="B44" s="117" t="s">
        <v>267</v>
      </c>
      <c r="C44" s="118"/>
      <c r="D44" s="118"/>
      <c r="E44" s="117" t="s">
        <v>62</v>
      </c>
      <c r="F44" s="119"/>
      <c r="G44" s="119"/>
      <c r="H44" s="120"/>
      <c r="I44" s="118"/>
    </row>
    <row r="45" spans="2:15" ht="38.25" customHeight="1" x14ac:dyDescent="0.2">
      <c r="B45" s="110" t="s">
        <v>245</v>
      </c>
      <c r="C45" s="111" t="s">
        <v>46</v>
      </c>
      <c r="D45" s="111" t="s">
        <v>12</v>
      </c>
      <c r="E45" s="110" t="s">
        <v>47</v>
      </c>
      <c r="F45" s="112" t="s">
        <v>356</v>
      </c>
      <c r="G45" s="112" t="s">
        <v>407</v>
      </c>
      <c r="H45" s="115">
        <v>146.12</v>
      </c>
      <c r="I45" s="111" t="s">
        <v>14</v>
      </c>
      <c r="L45">
        <f>320/12</f>
        <v>26.666666666666668</v>
      </c>
    </row>
    <row r="46" spans="2:15" ht="54" x14ac:dyDescent="0.2">
      <c r="B46" s="110" t="s">
        <v>246</v>
      </c>
      <c r="C46" s="111" t="s">
        <v>34</v>
      </c>
      <c r="D46" s="111" t="s">
        <v>12</v>
      </c>
      <c r="E46" s="110" t="s">
        <v>35</v>
      </c>
      <c r="F46" s="112" t="s">
        <v>357</v>
      </c>
      <c r="G46" s="112" t="s">
        <v>394</v>
      </c>
      <c r="H46" s="115">
        <f>2030*0.88*0.145</f>
        <v>259.02800000000002</v>
      </c>
      <c r="I46" s="111" t="s">
        <v>36</v>
      </c>
    </row>
    <row r="47" spans="2:15" ht="54" x14ac:dyDescent="0.2">
      <c r="B47" s="110" t="s">
        <v>247</v>
      </c>
      <c r="C47" s="111" t="s">
        <v>60</v>
      </c>
      <c r="D47" s="111" t="s">
        <v>12</v>
      </c>
      <c r="E47" s="110" t="s">
        <v>61</v>
      </c>
      <c r="F47" s="112" t="s">
        <v>357</v>
      </c>
      <c r="G47" s="112" t="s">
        <v>395</v>
      </c>
      <c r="H47" s="115">
        <f>243.54*4*0.6</f>
        <v>584.49599999999998</v>
      </c>
      <c r="I47" s="111" t="s">
        <v>36</v>
      </c>
    </row>
    <row r="48" spans="2:15" ht="54" x14ac:dyDescent="0.2">
      <c r="B48" s="110" t="s">
        <v>248</v>
      </c>
      <c r="C48" s="111" t="s">
        <v>48</v>
      </c>
      <c r="D48" s="111" t="s">
        <v>12</v>
      </c>
      <c r="E48" s="110" t="s">
        <v>49</v>
      </c>
      <c r="F48" s="112" t="s">
        <v>358</v>
      </c>
      <c r="G48" s="112" t="s">
        <v>396</v>
      </c>
      <c r="H48" s="115">
        <f>243.54*0.15*0.35</f>
        <v>12.785849999999998</v>
      </c>
      <c r="I48" s="111" t="s">
        <v>19</v>
      </c>
    </row>
    <row r="49" spans="2:9" ht="54" x14ac:dyDescent="0.2">
      <c r="B49" s="110" t="s">
        <v>249</v>
      </c>
      <c r="C49" s="111" t="s">
        <v>50</v>
      </c>
      <c r="D49" s="111" t="s">
        <v>12</v>
      </c>
      <c r="E49" s="110" t="s">
        <v>51</v>
      </c>
      <c r="F49" s="112" t="s">
        <v>359</v>
      </c>
      <c r="G49" s="112">
        <v>2</v>
      </c>
      <c r="H49" s="115">
        <v>2</v>
      </c>
      <c r="I49" s="111" t="s">
        <v>52</v>
      </c>
    </row>
    <row r="50" spans="2:9" ht="18" x14ac:dyDescent="0.2">
      <c r="B50" s="117" t="s">
        <v>268</v>
      </c>
      <c r="C50" s="118"/>
      <c r="D50" s="118"/>
      <c r="E50" s="117" t="s">
        <v>63</v>
      </c>
      <c r="F50" s="121"/>
      <c r="G50" s="122"/>
      <c r="H50" s="123"/>
      <c r="I50" s="118"/>
    </row>
    <row r="51" spans="2:9" ht="90" x14ac:dyDescent="0.2">
      <c r="B51" s="110" t="s">
        <v>250</v>
      </c>
      <c r="C51" s="111" t="s">
        <v>64</v>
      </c>
      <c r="D51" s="111" t="s">
        <v>12</v>
      </c>
      <c r="E51" s="110" t="s">
        <v>65</v>
      </c>
      <c r="F51" s="112" t="s">
        <v>360</v>
      </c>
      <c r="G51" s="112">
        <v>243.68</v>
      </c>
      <c r="H51" s="115">
        <v>243.68</v>
      </c>
      <c r="I51" s="111" t="s">
        <v>14</v>
      </c>
    </row>
    <row r="52" spans="2:9" s="73" customFormat="1" ht="18" x14ac:dyDescent="0.2">
      <c r="B52" s="117">
        <v>5</v>
      </c>
      <c r="C52" s="118"/>
      <c r="D52" s="118"/>
      <c r="E52" s="117" t="s">
        <v>431</v>
      </c>
      <c r="F52" s="121"/>
      <c r="G52" s="122"/>
      <c r="H52" s="123"/>
      <c r="I52" s="118"/>
    </row>
    <row r="53" spans="2:9" s="73" customFormat="1" ht="45" customHeight="1" x14ac:dyDescent="0.2">
      <c r="B53" s="110" t="s">
        <v>434</v>
      </c>
      <c r="C53" s="124" t="s">
        <v>425</v>
      </c>
      <c r="D53" s="111" t="s">
        <v>12</v>
      </c>
      <c r="E53" s="125" t="s">
        <v>426</v>
      </c>
      <c r="F53" s="124" t="s">
        <v>432</v>
      </c>
      <c r="G53" s="126">
        <v>28.2</v>
      </c>
      <c r="H53" s="126">
        <v>28.2</v>
      </c>
      <c r="I53" s="111" t="s">
        <v>384</v>
      </c>
    </row>
    <row r="54" spans="2:9" s="73" customFormat="1" ht="54" x14ac:dyDescent="0.2">
      <c r="B54" s="110" t="s">
        <v>435</v>
      </c>
      <c r="C54" s="124" t="s">
        <v>427</v>
      </c>
      <c r="D54" s="111" t="s">
        <v>12</v>
      </c>
      <c r="E54" s="125" t="s">
        <v>428</v>
      </c>
      <c r="F54" s="124" t="s">
        <v>432</v>
      </c>
      <c r="G54" s="126">
        <v>28.2</v>
      </c>
      <c r="H54" s="126">
        <v>28.2</v>
      </c>
      <c r="I54" s="111" t="s">
        <v>384</v>
      </c>
    </row>
    <row r="55" spans="2:9" s="73" customFormat="1" ht="37.15" customHeight="1" x14ac:dyDescent="0.2">
      <c r="B55" s="110" t="s">
        <v>436</v>
      </c>
      <c r="C55" s="124" t="s">
        <v>429</v>
      </c>
      <c r="D55" s="111" t="s">
        <v>12</v>
      </c>
      <c r="E55" s="125" t="s">
        <v>430</v>
      </c>
      <c r="F55" s="124" t="s">
        <v>433</v>
      </c>
      <c r="G55" s="126">
        <v>15</v>
      </c>
      <c r="H55" s="126">
        <v>15</v>
      </c>
      <c r="I55" s="111" t="s">
        <v>384</v>
      </c>
    </row>
    <row r="56" spans="2:9" ht="18" x14ac:dyDescent="0.2">
      <c r="B56" s="117">
        <v>6</v>
      </c>
      <c r="C56" s="118"/>
      <c r="D56" s="118"/>
      <c r="E56" s="117" t="s">
        <v>66</v>
      </c>
      <c r="F56" s="119"/>
      <c r="G56" s="119"/>
      <c r="H56" s="120"/>
      <c r="I56" s="118"/>
    </row>
    <row r="57" spans="2:9" ht="74.45" customHeight="1" x14ac:dyDescent="0.25">
      <c r="B57" s="110" t="s">
        <v>269</v>
      </c>
      <c r="C57" s="111">
        <v>92541</v>
      </c>
      <c r="D57" s="111" t="s">
        <v>12</v>
      </c>
      <c r="E57" s="127" t="s">
        <v>408</v>
      </c>
      <c r="F57" s="112" t="s">
        <v>361</v>
      </c>
      <c r="G57" s="112" t="s">
        <v>379</v>
      </c>
      <c r="H57" s="115">
        <f>88.55+369.34</f>
        <v>457.89</v>
      </c>
      <c r="I57" s="111" t="s">
        <v>14</v>
      </c>
    </row>
    <row r="58" spans="2:9" ht="54" x14ac:dyDescent="0.2">
      <c r="B58" s="110" t="s">
        <v>270</v>
      </c>
      <c r="C58" s="111" t="s">
        <v>67</v>
      </c>
      <c r="D58" s="111" t="s">
        <v>12</v>
      </c>
      <c r="E58" s="110" t="s">
        <v>68</v>
      </c>
      <c r="F58" s="112" t="s">
        <v>362</v>
      </c>
      <c r="G58" s="112" t="s">
        <v>379</v>
      </c>
      <c r="H58" s="115">
        <f>88.55+369.34</f>
        <v>457.89</v>
      </c>
      <c r="I58" s="111" t="s">
        <v>14</v>
      </c>
    </row>
    <row r="59" spans="2:9" ht="18" x14ac:dyDescent="0.2">
      <c r="B59" s="117">
        <v>7</v>
      </c>
      <c r="C59" s="118"/>
      <c r="D59" s="118"/>
      <c r="E59" s="117" t="s">
        <v>69</v>
      </c>
      <c r="F59" s="119"/>
      <c r="G59" s="119"/>
      <c r="H59" s="120"/>
      <c r="I59" s="118"/>
    </row>
    <row r="60" spans="2:9" ht="90" x14ac:dyDescent="0.2">
      <c r="B60" s="110" t="s">
        <v>271</v>
      </c>
      <c r="C60" s="111" t="s">
        <v>70</v>
      </c>
      <c r="D60" s="111" t="s">
        <v>12</v>
      </c>
      <c r="E60" s="110" t="s">
        <v>71</v>
      </c>
      <c r="F60" s="112" t="s">
        <v>363</v>
      </c>
      <c r="G60" s="112" t="s">
        <v>327</v>
      </c>
      <c r="H60" s="115">
        <f>1267.56+402.02+233.03</f>
        <v>1902.61</v>
      </c>
      <c r="I60" s="111" t="s">
        <v>14</v>
      </c>
    </row>
    <row r="61" spans="2:9" ht="126" x14ac:dyDescent="0.2">
      <c r="B61" s="110" t="s">
        <v>272</v>
      </c>
      <c r="C61" s="111" t="s">
        <v>72</v>
      </c>
      <c r="D61" s="111" t="s">
        <v>12</v>
      </c>
      <c r="E61" s="110" t="s">
        <v>73</v>
      </c>
      <c r="F61" s="112" t="s">
        <v>364</v>
      </c>
      <c r="G61" s="112" t="s">
        <v>380</v>
      </c>
      <c r="H61" s="115">
        <v>163.05000000000001</v>
      </c>
      <c r="I61" s="111" t="s">
        <v>14</v>
      </c>
    </row>
    <row r="62" spans="2:9" ht="90" x14ac:dyDescent="0.2">
      <c r="B62" s="110" t="s">
        <v>437</v>
      </c>
      <c r="C62" s="111" t="s">
        <v>74</v>
      </c>
      <c r="D62" s="111" t="s">
        <v>12</v>
      </c>
      <c r="E62" s="110" t="s">
        <v>75</v>
      </c>
      <c r="F62" s="112" t="s">
        <v>363</v>
      </c>
      <c r="G62" s="112" t="s">
        <v>380</v>
      </c>
      <c r="H62" s="115">
        <v>163.05000000000001</v>
      </c>
      <c r="I62" s="111" t="s">
        <v>14</v>
      </c>
    </row>
    <row r="63" spans="2:9" ht="108" x14ac:dyDescent="0.2">
      <c r="B63" s="110" t="s">
        <v>438</v>
      </c>
      <c r="C63" s="111" t="s">
        <v>76</v>
      </c>
      <c r="D63" s="111" t="s">
        <v>12</v>
      </c>
      <c r="E63" s="110" t="s">
        <v>77</v>
      </c>
      <c r="F63" s="112" t="s">
        <v>363</v>
      </c>
      <c r="G63" s="112" t="s">
        <v>327</v>
      </c>
      <c r="H63" s="115">
        <f>1267.56+402.02+233.03-163.05</f>
        <v>1739.56</v>
      </c>
      <c r="I63" s="111" t="s">
        <v>14</v>
      </c>
    </row>
    <row r="64" spans="2:9" ht="18" x14ac:dyDescent="0.2">
      <c r="B64" s="128">
        <v>8</v>
      </c>
      <c r="C64" s="129"/>
      <c r="D64" s="129"/>
      <c r="E64" s="128" t="s">
        <v>78</v>
      </c>
      <c r="F64" s="121"/>
      <c r="G64" s="121"/>
      <c r="H64" s="130"/>
      <c r="I64" s="129"/>
    </row>
    <row r="65" spans="2:9" ht="90" x14ac:dyDescent="0.2">
      <c r="B65" s="110" t="s">
        <v>273</v>
      </c>
      <c r="C65" s="111" t="s">
        <v>79</v>
      </c>
      <c r="D65" s="111" t="s">
        <v>12</v>
      </c>
      <c r="E65" s="110" t="s">
        <v>80</v>
      </c>
      <c r="F65" s="112" t="s">
        <v>365</v>
      </c>
      <c r="G65" s="112" t="s">
        <v>328</v>
      </c>
      <c r="H65" s="115">
        <v>338.33</v>
      </c>
      <c r="I65" s="111" t="s">
        <v>14</v>
      </c>
    </row>
    <row r="66" spans="2:9" ht="72" x14ac:dyDescent="0.2">
      <c r="B66" s="110" t="s">
        <v>420</v>
      </c>
      <c r="C66" s="111" t="s">
        <v>81</v>
      </c>
      <c r="D66" s="111" t="s">
        <v>12</v>
      </c>
      <c r="E66" s="110" t="s">
        <v>82</v>
      </c>
      <c r="F66" s="112" t="s">
        <v>366</v>
      </c>
      <c r="G66" s="112" t="s">
        <v>328</v>
      </c>
      <c r="H66" s="115">
        <v>338.33</v>
      </c>
      <c r="I66" s="111" t="s">
        <v>14</v>
      </c>
    </row>
    <row r="67" spans="2:9" ht="18" x14ac:dyDescent="0.2">
      <c r="B67" s="128">
        <v>9</v>
      </c>
      <c r="C67" s="131"/>
      <c r="D67" s="131"/>
      <c r="E67" s="128" t="s">
        <v>20</v>
      </c>
      <c r="F67" s="122"/>
      <c r="G67" s="122"/>
      <c r="H67" s="123"/>
      <c r="I67" s="131"/>
    </row>
    <row r="68" spans="2:9" ht="108" x14ac:dyDescent="0.2">
      <c r="B68" s="110" t="s">
        <v>274</v>
      </c>
      <c r="C68" s="111" t="s">
        <v>83</v>
      </c>
      <c r="D68" s="111" t="s">
        <v>12</v>
      </c>
      <c r="E68" s="110" t="s">
        <v>84</v>
      </c>
      <c r="F68" s="112" t="s">
        <v>367</v>
      </c>
      <c r="G68" s="112" t="s">
        <v>329</v>
      </c>
      <c r="H68" s="115">
        <v>18.2</v>
      </c>
      <c r="I68" s="111" t="s">
        <v>14</v>
      </c>
    </row>
    <row r="69" spans="2:9" s="71" customFormat="1" ht="72" x14ac:dyDescent="0.2">
      <c r="B69" s="110" t="s">
        <v>423</v>
      </c>
      <c r="C69" s="124" t="s">
        <v>415</v>
      </c>
      <c r="D69" s="111" t="s">
        <v>87</v>
      </c>
      <c r="E69" s="125" t="s">
        <v>414</v>
      </c>
      <c r="F69" s="112" t="s">
        <v>413</v>
      </c>
      <c r="G69" s="112">
        <v>1</v>
      </c>
      <c r="H69" s="115">
        <v>1</v>
      </c>
      <c r="I69" s="111" t="s">
        <v>24</v>
      </c>
    </row>
    <row r="70" spans="2:9" s="71" customFormat="1" ht="81.599999999999994" customHeight="1" x14ac:dyDescent="0.2">
      <c r="B70" s="110" t="s">
        <v>439</v>
      </c>
      <c r="C70" s="124" t="s">
        <v>416</v>
      </c>
      <c r="D70" s="111" t="s">
        <v>87</v>
      </c>
      <c r="E70" s="125" t="s">
        <v>417</v>
      </c>
      <c r="F70" s="112" t="s">
        <v>418</v>
      </c>
      <c r="G70" s="112" t="s">
        <v>419</v>
      </c>
      <c r="H70" s="115">
        <v>5.04</v>
      </c>
      <c r="I70" s="111" t="s">
        <v>14</v>
      </c>
    </row>
    <row r="71" spans="2:9" ht="18" x14ac:dyDescent="0.2">
      <c r="B71" s="117">
        <v>10</v>
      </c>
      <c r="C71" s="118"/>
      <c r="D71" s="118"/>
      <c r="E71" s="117" t="s">
        <v>23</v>
      </c>
      <c r="F71" s="119"/>
      <c r="G71" s="119"/>
      <c r="H71" s="120"/>
      <c r="I71" s="118"/>
    </row>
    <row r="72" spans="2:9" ht="89.45" customHeight="1" x14ac:dyDescent="0.2">
      <c r="B72" s="110" t="s">
        <v>275</v>
      </c>
      <c r="C72" s="113">
        <v>39488</v>
      </c>
      <c r="D72" s="111" t="s">
        <v>12</v>
      </c>
      <c r="E72" s="114" t="s">
        <v>412</v>
      </c>
      <c r="F72" s="112" t="s">
        <v>368</v>
      </c>
      <c r="G72" s="112">
        <v>10</v>
      </c>
      <c r="H72" s="115">
        <v>10</v>
      </c>
      <c r="I72" s="111" t="s">
        <v>24</v>
      </c>
    </row>
    <row r="73" spans="2:9" s="73" customFormat="1" ht="48" customHeight="1" x14ac:dyDescent="0.2">
      <c r="B73" s="110" t="s">
        <v>440</v>
      </c>
      <c r="C73" s="124" t="s">
        <v>421</v>
      </c>
      <c r="D73" s="111" t="s">
        <v>12</v>
      </c>
      <c r="E73" s="125" t="s">
        <v>422</v>
      </c>
      <c r="F73" s="112" t="s">
        <v>368</v>
      </c>
      <c r="G73" s="126">
        <v>4</v>
      </c>
      <c r="H73" s="115">
        <v>4</v>
      </c>
      <c r="I73" s="111" t="s">
        <v>24</v>
      </c>
    </row>
    <row r="74" spans="2:9" ht="18" x14ac:dyDescent="0.2">
      <c r="B74" s="117">
        <v>11</v>
      </c>
      <c r="C74" s="118"/>
      <c r="D74" s="118"/>
      <c r="E74" s="117" t="s">
        <v>85</v>
      </c>
      <c r="F74" s="119"/>
      <c r="G74" s="119"/>
      <c r="H74" s="120"/>
      <c r="I74" s="118"/>
    </row>
    <row r="75" spans="2:9" ht="72" x14ac:dyDescent="0.2">
      <c r="B75" s="110" t="s">
        <v>276</v>
      </c>
      <c r="C75" s="111" t="s">
        <v>86</v>
      </c>
      <c r="D75" s="111" t="s">
        <v>87</v>
      </c>
      <c r="E75" s="110" t="s">
        <v>88</v>
      </c>
      <c r="F75" s="112" t="s">
        <v>369</v>
      </c>
      <c r="G75" s="112" t="s">
        <v>330</v>
      </c>
      <c r="H75" s="115">
        <f>(1.22*2+1.49+1.62)*2</f>
        <v>11.1</v>
      </c>
      <c r="I75" s="111" t="s">
        <v>14</v>
      </c>
    </row>
    <row r="76" spans="2:9" ht="18" x14ac:dyDescent="0.2">
      <c r="B76" s="117">
        <v>12</v>
      </c>
      <c r="C76" s="118"/>
      <c r="D76" s="118"/>
      <c r="E76" s="117" t="s">
        <v>89</v>
      </c>
      <c r="F76" s="119"/>
      <c r="G76" s="119"/>
      <c r="H76" s="120"/>
      <c r="I76" s="118"/>
    </row>
    <row r="77" spans="2:9" ht="54" x14ac:dyDescent="0.2">
      <c r="B77" s="110" t="s">
        <v>277</v>
      </c>
      <c r="C77" s="111" t="s">
        <v>90</v>
      </c>
      <c r="D77" s="111" t="s">
        <v>12</v>
      </c>
      <c r="E77" s="110" t="s">
        <v>91</v>
      </c>
      <c r="F77" s="112" t="s">
        <v>370</v>
      </c>
      <c r="G77" s="112" t="s">
        <v>409</v>
      </c>
      <c r="H77" s="115">
        <v>1739.56</v>
      </c>
      <c r="I77" s="111" t="s">
        <v>14</v>
      </c>
    </row>
    <row r="78" spans="2:9" ht="72" x14ac:dyDescent="0.2">
      <c r="B78" s="110" t="s">
        <v>441</v>
      </c>
      <c r="C78" s="111" t="s">
        <v>92</v>
      </c>
      <c r="D78" s="111" t="s">
        <v>12</v>
      </c>
      <c r="E78" s="110" t="s">
        <v>93</v>
      </c>
      <c r="F78" s="112" t="s">
        <v>371</v>
      </c>
      <c r="G78" s="112" t="s">
        <v>331</v>
      </c>
      <c r="H78" s="115">
        <v>112.33</v>
      </c>
      <c r="I78" s="111" t="s">
        <v>14</v>
      </c>
    </row>
    <row r="79" spans="2:9" ht="54" x14ac:dyDescent="0.2">
      <c r="B79" s="110" t="s">
        <v>442</v>
      </c>
      <c r="C79" s="111" t="s">
        <v>94</v>
      </c>
      <c r="D79" s="111" t="s">
        <v>12</v>
      </c>
      <c r="E79" s="110" t="s">
        <v>95</v>
      </c>
      <c r="F79" s="112" t="s">
        <v>372</v>
      </c>
      <c r="G79" s="112" t="s">
        <v>332</v>
      </c>
      <c r="H79" s="115">
        <v>89.61</v>
      </c>
      <c r="I79" s="111" t="s">
        <v>14</v>
      </c>
    </row>
    <row r="80" spans="2:9" ht="18" x14ac:dyDescent="0.2">
      <c r="B80" s="117">
        <v>13</v>
      </c>
      <c r="C80" s="118"/>
      <c r="D80" s="118"/>
      <c r="E80" s="117" t="s">
        <v>96</v>
      </c>
      <c r="F80" s="119"/>
      <c r="G80" s="119"/>
      <c r="H80" s="120"/>
      <c r="I80" s="118"/>
    </row>
    <row r="81" spans="2:10" ht="36" x14ac:dyDescent="0.2">
      <c r="B81" s="110" t="s">
        <v>278</v>
      </c>
      <c r="C81" s="111" t="s">
        <v>97</v>
      </c>
      <c r="D81" s="111" t="s">
        <v>12</v>
      </c>
      <c r="E81" s="110" t="s">
        <v>98</v>
      </c>
      <c r="F81" s="112" t="s">
        <v>373</v>
      </c>
      <c r="G81" s="112">
        <v>419.14</v>
      </c>
      <c r="H81" s="115">
        <v>419.14</v>
      </c>
      <c r="I81" s="111" t="s">
        <v>14</v>
      </c>
    </row>
    <row r="82" spans="2:10" ht="18" x14ac:dyDescent="0.2">
      <c r="B82" s="117">
        <v>14</v>
      </c>
      <c r="C82" s="118"/>
      <c r="D82" s="118"/>
      <c r="E82" s="117" t="s">
        <v>307</v>
      </c>
      <c r="F82" s="119"/>
      <c r="G82" s="119"/>
      <c r="H82" s="120"/>
      <c r="I82" s="118"/>
    </row>
    <row r="83" spans="2:10" ht="108" x14ac:dyDescent="0.2">
      <c r="B83" s="110" t="s">
        <v>279</v>
      </c>
      <c r="C83" s="111" t="s">
        <v>99</v>
      </c>
      <c r="D83" s="111" t="s">
        <v>12</v>
      </c>
      <c r="E83" s="110" t="s">
        <v>100</v>
      </c>
      <c r="F83" s="112" t="s">
        <v>375</v>
      </c>
      <c r="G83" s="112" t="s">
        <v>410</v>
      </c>
      <c r="H83" s="115">
        <v>79.5</v>
      </c>
      <c r="I83" s="111" t="s">
        <v>30</v>
      </c>
      <c r="J83" s="69"/>
    </row>
    <row r="84" spans="2:10" ht="72" x14ac:dyDescent="0.2">
      <c r="B84" s="110" t="s">
        <v>280</v>
      </c>
      <c r="C84" s="111" t="s">
        <v>172</v>
      </c>
      <c r="D84" s="111" t="s">
        <v>87</v>
      </c>
      <c r="E84" s="110" t="s">
        <v>173</v>
      </c>
      <c r="F84" s="112" t="s">
        <v>374</v>
      </c>
      <c r="G84" s="112" t="s">
        <v>333</v>
      </c>
      <c r="H84" s="115">
        <v>104.37</v>
      </c>
      <c r="I84" s="111" t="s">
        <v>30</v>
      </c>
      <c r="J84" s="69"/>
    </row>
    <row r="85" spans="2:10" ht="18" x14ac:dyDescent="0.2">
      <c r="B85" s="117">
        <v>15</v>
      </c>
      <c r="C85" s="118"/>
      <c r="D85" s="118"/>
      <c r="E85" s="117" t="s">
        <v>101</v>
      </c>
      <c r="F85" s="119"/>
      <c r="G85" s="119"/>
      <c r="H85" s="120"/>
      <c r="I85" s="118"/>
    </row>
    <row r="86" spans="2:10" ht="54" x14ac:dyDescent="0.2">
      <c r="B86" s="110" t="s">
        <v>281</v>
      </c>
      <c r="C86" s="111" t="s">
        <v>102</v>
      </c>
      <c r="D86" s="111" t="s">
        <v>87</v>
      </c>
      <c r="E86" s="110" t="s">
        <v>103</v>
      </c>
      <c r="F86" s="112" t="s">
        <v>376</v>
      </c>
      <c r="G86" s="112">
        <v>7</v>
      </c>
      <c r="H86" s="115">
        <v>7</v>
      </c>
      <c r="I86" s="111" t="s">
        <v>104</v>
      </c>
    </row>
    <row r="87" spans="2:10" ht="72" x14ac:dyDescent="0.2">
      <c r="B87" s="110" t="s">
        <v>282</v>
      </c>
      <c r="C87" s="111" t="s">
        <v>105</v>
      </c>
      <c r="D87" s="111" t="s">
        <v>12</v>
      </c>
      <c r="E87" s="110" t="s">
        <v>106</v>
      </c>
      <c r="F87" s="112" t="s">
        <v>376</v>
      </c>
      <c r="G87" s="112">
        <v>7</v>
      </c>
      <c r="H87" s="115">
        <v>7</v>
      </c>
      <c r="I87" s="111" t="s">
        <v>24</v>
      </c>
    </row>
    <row r="88" spans="2:10" ht="90" x14ac:dyDescent="0.2">
      <c r="B88" s="110" t="s">
        <v>283</v>
      </c>
      <c r="C88" s="111" t="s">
        <v>107</v>
      </c>
      <c r="D88" s="111" t="s">
        <v>12</v>
      </c>
      <c r="E88" s="110" t="s">
        <v>108</v>
      </c>
      <c r="F88" s="112" t="s">
        <v>376</v>
      </c>
      <c r="G88" s="112">
        <v>19</v>
      </c>
      <c r="H88" s="115">
        <v>19</v>
      </c>
      <c r="I88" s="111" t="s">
        <v>24</v>
      </c>
    </row>
    <row r="89" spans="2:10" ht="72" x14ac:dyDescent="0.2">
      <c r="B89" s="110" t="s">
        <v>284</v>
      </c>
      <c r="C89" s="111" t="s">
        <v>109</v>
      </c>
      <c r="D89" s="111" t="s">
        <v>12</v>
      </c>
      <c r="E89" s="110" t="s">
        <v>110</v>
      </c>
      <c r="F89" s="112" t="s">
        <v>376</v>
      </c>
      <c r="G89" s="112">
        <v>7</v>
      </c>
      <c r="H89" s="115">
        <v>7</v>
      </c>
      <c r="I89" s="111" t="s">
        <v>24</v>
      </c>
    </row>
    <row r="90" spans="2:10" ht="72" x14ac:dyDescent="0.2">
      <c r="B90" s="110" t="s">
        <v>285</v>
      </c>
      <c r="C90" s="111" t="s">
        <v>111</v>
      </c>
      <c r="D90" s="111" t="s">
        <v>87</v>
      </c>
      <c r="E90" s="110" t="s">
        <v>112</v>
      </c>
      <c r="F90" s="112" t="s">
        <v>376</v>
      </c>
      <c r="G90" s="112">
        <v>7</v>
      </c>
      <c r="H90" s="115">
        <v>7</v>
      </c>
      <c r="I90" s="111" t="s">
        <v>104</v>
      </c>
    </row>
    <row r="91" spans="2:10" ht="144" x14ac:dyDescent="0.2">
      <c r="B91" s="110" t="s">
        <v>443</v>
      </c>
      <c r="C91" s="111" t="s">
        <v>113</v>
      </c>
      <c r="D91" s="111" t="s">
        <v>87</v>
      </c>
      <c r="E91" s="110" t="s">
        <v>114</v>
      </c>
      <c r="F91" s="112" t="s">
        <v>376</v>
      </c>
      <c r="G91" s="112">
        <v>3</v>
      </c>
      <c r="H91" s="115">
        <v>3</v>
      </c>
      <c r="I91" s="111" t="s">
        <v>104</v>
      </c>
    </row>
    <row r="92" spans="2:10" ht="90" x14ac:dyDescent="0.2">
      <c r="B92" s="110" t="s">
        <v>444</v>
      </c>
      <c r="C92" s="111" t="s">
        <v>115</v>
      </c>
      <c r="D92" s="111" t="s">
        <v>87</v>
      </c>
      <c r="E92" s="110" t="s">
        <v>116</v>
      </c>
      <c r="F92" s="112" t="s">
        <v>376</v>
      </c>
      <c r="G92" s="112">
        <v>3</v>
      </c>
      <c r="H92" s="115">
        <v>3</v>
      </c>
      <c r="I92" s="111" t="s">
        <v>104</v>
      </c>
    </row>
    <row r="93" spans="2:10" ht="54" x14ac:dyDescent="0.2">
      <c r="B93" s="110" t="s">
        <v>445</v>
      </c>
      <c r="C93" s="111" t="s">
        <v>117</v>
      </c>
      <c r="D93" s="111" t="s">
        <v>87</v>
      </c>
      <c r="E93" s="110" t="s">
        <v>118</v>
      </c>
      <c r="F93" s="112" t="s">
        <v>376</v>
      </c>
      <c r="G93" s="112">
        <v>4</v>
      </c>
      <c r="H93" s="115">
        <v>4</v>
      </c>
      <c r="I93" s="111" t="s">
        <v>104</v>
      </c>
    </row>
    <row r="94" spans="2:10" ht="108" x14ac:dyDescent="0.2">
      <c r="B94" s="110" t="s">
        <v>446</v>
      </c>
      <c r="C94" s="111" t="s">
        <v>119</v>
      </c>
      <c r="D94" s="111" t="s">
        <v>87</v>
      </c>
      <c r="E94" s="110" t="s">
        <v>120</v>
      </c>
      <c r="F94" s="112" t="s">
        <v>376</v>
      </c>
      <c r="G94" s="112">
        <v>4</v>
      </c>
      <c r="H94" s="115">
        <v>4</v>
      </c>
      <c r="I94" s="111" t="s">
        <v>24</v>
      </c>
    </row>
    <row r="95" spans="2:10" ht="72" x14ac:dyDescent="0.2">
      <c r="B95" s="110" t="s">
        <v>447</v>
      </c>
      <c r="C95" s="111" t="s">
        <v>121</v>
      </c>
      <c r="D95" s="111" t="s">
        <v>12</v>
      </c>
      <c r="E95" s="110" t="s">
        <v>122</v>
      </c>
      <c r="F95" s="112" t="s">
        <v>376</v>
      </c>
      <c r="G95" s="112">
        <v>4</v>
      </c>
      <c r="H95" s="115">
        <v>4</v>
      </c>
      <c r="I95" s="111" t="s">
        <v>24</v>
      </c>
    </row>
    <row r="96" spans="2:10" ht="72" x14ac:dyDescent="0.2">
      <c r="B96" s="110" t="s">
        <v>448</v>
      </c>
      <c r="C96" s="111" t="s">
        <v>123</v>
      </c>
      <c r="D96" s="111" t="s">
        <v>12</v>
      </c>
      <c r="E96" s="110" t="s">
        <v>124</v>
      </c>
      <c r="F96" s="112" t="s">
        <v>376</v>
      </c>
      <c r="G96" s="112">
        <v>4</v>
      </c>
      <c r="H96" s="115">
        <v>4</v>
      </c>
      <c r="I96" s="111" t="s">
        <v>24</v>
      </c>
    </row>
    <row r="97" spans="2:9" ht="54" x14ac:dyDescent="0.2">
      <c r="B97" s="110" t="s">
        <v>449</v>
      </c>
      <c r="C97" s="111" t="s">
        <v>125</v>
      </c>
      <c r="D97" s="111" t="s">
        <v>12</v>
      </c>
      <c r="E97" s="110" t="s">
        <v>126</v>
      </c>
      <c r="F97" s="112" t="s">
        <v>376</v>
      </c>
      <c r="G97" s="112">
        <v>4</v>
      </c>
      <c r="H97" s="115">
        <v>4</v>
      </c>
      <c r="I97" s="111" t="s">
        <v>24</v>
      </c>
    </row>
    <row r="98" spans="2:9" ht="90" x14ac:dyDescent="0.2">
      <c r="B98" s="110" t="s">
        <v>450</v>
      </c>
      <c r="C98" s="111" t="s">
        <v>127</v>
      </c>
      <c r="D98" s="111" t="s">
        <v>12</v>
      </c>
      <c r="E98" s="110" t="s">
        <v>128</v>
      </c>
      <c r="F98" s="112" t="s">
        <v>376</v>
      </c>
      <c r="G98" s="112">
        <v>1</v>
      </c>
      <c r="H98" s="115">
        <v>1</v>
      </c>
      <c r="I98" s="111" t="s">
        <v>24</v>
      </c>
    </row>
    <row r="99" spans="2:9" ht="54" x14ac:dyDescent="0.2">
      <c r="B99" s="110" t="s">
        <v>451</v>
      </c>
      <c r="C99" s="111" t="s">
        <v>130</v>
      </c>
      <c r="D99" s="111" t="s">
        <v>87</v>
      </c>
      <c r="E99" s="110" t="s">
        <v>131</v>
      </c>
      <c r="F99" s="112" t="s">
        <v>376</v>
      </c>
      <c r="G99" s="112">
        <v>1</v>
      </c>
      <c r="H99" s="115">
        <v>1</v>
      </c>
      <c r="I99" s="111" t="s">
        <v>104</v>
      </c>
    </row>
    <row r="100" spans="2:9" s="70" customFormat="1" ht="42" customHeight="1" x14ac:dyDescent="0.2">
      <c r="B100" s="110" t="s">
        <v>452</v>
      </c>
      <c r="C100" s="113">
        <v>11895</v>
      </c>
      <c r="D100" s="111" t="s">
        <v>12</v>
      </c>
      <c r="E100" s="114" t="s">
        <v>411</v>
      </c>
      <c r="F100" s="112" t="s">
        <v>376</v>
      </c>
      <c r="G100" s="112">
        <v>1</v>
      </c>
      <c r="H100" s="115">
        <v>1</v>
      </c>
      <c r="I100" s="111" t="s">
        <v>24</v>
      </c>
    </row>
    <row r="101" spans="2:9" ht="54" x14ac:dyDescent="0.2">
      <c r="B101" s="110" t="s">
        <v>453</v>
      </c>
      <c r="C101" s="111" t="s">
        <v>132</v>
      </c>
      <c r="D101" s="111" t="s">
        <v>12</v>
      </c>
      <c r="E101" s="110" t="s">
        <v>133</v>
      </c>
      <c r="F101" s="112" t="s">
        <v>376</v>
      </c>
      <c r="G101" s="112">
        <v>1</v>
      </c>
      <c r="H101" s="112">
        <v>1</v>
      </c>
      <c r="I101" s="111" t="s">
        <v>24</v>
      </c>
    </row>
    <row r="102" spans="2:9" s="57" customFormat="1" ht="36.6" customHeight="1" x14ac:dyDescent="0.2">
      <c r="B102" s="110" t="s">
        <v>454</v>
      </c>
      <c r="C102" s="111">
        <v>86893</v>
      </c>
      <c r="D102" s="111" t="s">
        <v>12</v>
      </c>
      <c r="E102" s="110" t="s">
        <v>405</v>
      </c>
      <c r="F102" s="112" t="s">
        <v>376</v>
      </c>
      <c r="G102" s="112">
        <v>3.48</v>
      </c>
      <c r="H102" s="112">
        <v>3.48</v>
      </c>
      <c r="I102" s="112" t="s">
        <v>406</v>
      </c>
    </row>
    <row r="103" spans="2:9" ht="54" x14ac:dyDescent="0.2">
      <c r="B103" s="110" t="s">
        <v>455</v>
      </c>
      <c r="C103" s="111" t="s">
        <v>134</v>
      </c>
      <c r="D103" s="111" t="s">
        <v>12</v>
      </c>
      <c r="E103" s="110" t="s">
        <v>135</v>
      </c>
      <c r="F103" s="112" t="s">
        <v>376</v>
      </c>
      <c r="G103" s="112">
        <v>6</v>
      </c>
      <c r="H103" s="112">
        <v>6</v>
      </c>
      <c r="I103" s="111" t="s">
        <v>24</v>
      </c>
    </row>
    <row r="104" spans="2:9" ht="18" x14ac:dyDescent="0.2">
      <c r="B104" s="117">
        <v>16</v>
      </c>
      <c r="C104" s="118"/>
      <c r="D104" s="118"/>
      <c r="E104" s="117" t="s">
        <v>136</v>
      </c>
      <c r="F104" s="119"/>
      <c r="G104" s="119"/>
      <c r="H104" s="119"/>
      <c r="I104" s="118"/>
    </row>
    <row r="105" spans="2:9" ht="54" x14ac:dyDescent="0.2">
      <c r="B105" s="110" t="s">
        <v>286</v>
      </c>
      <c r="C105" s="111" t="s">
        <v>137</v>
      </c>
      <c r="D105" s="111" t="s">
        <v>12</v>
      </c>
      <c r="E105" s="110" t="s">
        <v>138</v>
      </c>
      <c r="F105" s="112" t="s">
        <v>376</v>
      </c>
      <c r="G105" s="112">
        <v>10</v>
      </c>
      <c r="H105" s="112">
        <v>10</v>
      </c>
      <c r="I105" s="111" t="s">
        <v>24</v>
      </c>
    </row>
    <row r="106" spans="2:9" ht="72" x14ac:dyDescent="0.2">
      <c r="B106" s="110" t="s">
        <v>287</v>
      </c>
      <c r="C106" s="111" t="s">
        <v>139</v>
      </c>
      <c r="D106" s="111" t="s">
        <v>87</v>
      </c>
      <c r="E106" s="110" t="s">
        <v>140</v>
      </c>
      <c r="F106" s="112" t="s">
        <v>376</v>
      </c>
      <c r="G106" s="112">
        <v>5</v>
      </c>
      <c r="H106" s="112">
        <v>5</v>
      </c>
      <c r="I106" s="111" t="s">
        <v>104</v>
      </c>
    </row>
    <row r="107" spans="2:9" ht="72" x14ac:dyDescent="0.2">
      <c r="B107" s="110" t="s">
        <v>288</v>
      </c>
      <c r="C107" s="111" t="s">
        <v>141</v>
      </c>
      <c r="D107" s="111" t="s">
        <v>87</v>
      </c>
      <c r="E107" s="110" t="s">
        <v>142</v>
      </c>
      <c r="F107" s="112" t="s">
        <v>376</v>
      </c>
      <c r="G107" s="112">
        <v>9</v>
      </c>
      <c r="H107" s="112">
        <v>9</v>
      </c>
      <c r="I107" s="111" t="s">
        <v>104</v>
      </c>
    </row>
    <row r="108" spans="2:9" ht="54" x14ac:dyDescent="0.2">
      <c r="B108" s="110" t="s">
        <v>289</v>
      </c>
      <c r="C108" s="111" t="s">
        <v>143</v>
      </c>
      <c r="D108" s="111" t="s">
        <v>12</v>
      </c>
      <c r="E108" s="110" t="s">
        <v>144</v>
      </c>
      <c r="F108" s="112" t="s">
        <v>376</v>
      </c>
      <c r="G108" s="112">
        <v>5</v>
      </c>
      <c r="H108" s="112">
        <v>5</v>
      </c>
      <c r="I108" s="111" t="s">
        <v>24</v>
      </c>
    </row>
    <row r="109" spans="2:9" ht="54" x14ac:dyDescent="0.2">
      <c r="B109" s="110" t="s">
        <v>290</v>
      </c>
      <c r="C109" s="111" t="s">
        <v>145</v>
      </c>
      <c r="D109" s="111" t="s">
        <v>12</v>
      </c>
      <c r="E109" s="110" t="s">
        <v>146</v>
      </c>
      <c r="F109" s="112" t="s">
        <v>376</v>
      </c>
      <c r="G109" s="112">
        <v>5</v>
      </c>
      <c r="H109" s="112">
        <v>5</v>
      </c>
      <c r="I109" s="111" t="s">
        <v>24</v>
      </c>
    </row>
    <row r="110" spans="2:9" ht="18" x14ac:dyDescent="0.2">
      <c r="B110" s="117">
        <v>17</v>
      </c>
      <c r="C110" s="118"/>
      <c r="D110" s="118"/>
      <c r="E110" s="117" t="s">
        <v>147</v>
      </c>
      <c r="F110" s="119"/>
      <c r="G110" s="119"/>
      <c r="H110" s="119"/>
      <c r="I110" s="118"/>
    </row>
    <row r="111" spans="2:9" ht="108" x14ac:dyDescent="0.2">
      <c r="B111" s="110" t="s">
        <v>456</v>
      </c>
      <c r="C111" s="111" t="s">
        <v>148</v>
      </c>
      <c r="D111" s="111" t="s">
        <v>12</v>
      </c>
      <c r="E111" s="110" t="s">
        <v>149</v>
      </c>
      <c r="F111" s="112" t="s">
        <v>376</v>
      </c>
      <c r="G111" s="112">
        <v>111</v>
      </c>
      <c r="H111" s="112">
        <v>111</v>
      </c>
      <c r="I111" s="111" t="s">
        <v>24</v>
      </c>
    </row>
    <row r="112" spans="2:9" ht="54" x14ac:dyDescent="0.2">
      <c r="B112" s="110" t="s">
        <v>457</v>
      </c>
      <c r="C112" s="111" t="s">
        <v>150</v>
      </c>
      <c r="D112" s="111" t="s">
        <v>87</v>
      </c>
      <c r="E112" s="110" t="s">
        <v>151</v>
      </c>
      <c r="F112" s="112" t="s">
        <v>376</v>
      </c>
      <c r="G112" s="112">
        <v>7</v>
      </c>
      <c r="H112" s="112">
        <v>7</v>
      </c>
      <c r="I112" s="111" t="s">
        <v>104</v>
      </c>
    </row>
    <row r="113" spans="2:9" ht="36" x14ac:dyDescent="0.2">
      <c r="B113" s="110" t="s">
        <v>458</v>
      </c>
      <c r="C113" s="111" t="s">
        <v>152</v>
      </c>
      <c r="D113" s="111" t="s">
        <v>12</v>
      </c>
      <c r="E113" s="110" t="s">
        <v>153</v>
      </c>
      <c r="F113" s="112" t="s">
        <v>376</v>
      </c>
      <c r="G113" s="112">
        <v>8</v>
      </c>
      <c r="H113" s="112">
        <v>8</v>
      </c>
      <c r="I113" s="111" t="s">
        <v>24</v>
      </c>
    </row>
    <row r="114" spans="2:9" ht="36" x14ac:dyDescent="0.2">
      <c r="B114" s="110" t="s">
        <v>459</v>
      </c>
      <c r="C114" s="111" t="s">
        <v>154</v>
      </c>
      <c r="D114" s="111" t="s">
        <v>12</v>
      </c>
      <c r="E114" s="110" t="s">
        <v>155</v>
      </c>
      <c r="F114" s="112" t="s">
        <v>376</v>
      </c>
      <c r="G114" s="112">
        <v>1</v>
      </c>
      <c r="H114" s="112">
        <v>1</v>
      </c>
      <c r="I114" s="111" t="s">
        <v>24</v>
      </c>
    </row>
    <row r="115" spans="2:9" ht="90" x14ac:dyDescent="0.2">
      <c r="B115" s="110" t="s">
        <v>460</v>
      </c>
      <c r="C115" s="111" t="s">
        <v>156</v>
      </c>
      <c r="D115" s="111" t="s">
        <v>87</v>
      </c>
      <c r="E115" s="110" t="s">
        <v>157</v>
      </c>
      <c r="F115" s="112" t="s">
        <v>376</v>
      </c>
      <c r="G115" s="112">
        <v>1</v>
      </c>
      <c r="H115" s="112">
        <v>1</v>
      </c>
      <c r="I115" s="111" t="s">
        <v>24</v>
      </c>
    </row>
    <row r="116" spans="2:9" ht="54" x14ac:dyDescent="0.2">
      <c r="B116" s="110" t="s">
        <v>461</v>
      </c>
      <c r="C116" s="111" t="s">
        <v>158</v>
      </c>
      <c r="D116" s="111" t="s">
        <v>87</v>
      </c>
      <c r="E116" s="110" t="s">
        <v>159</v>
      </c>
      <c r="F116" s="112" t="s">
        <v>376</v>
      </c>
      <c r="G116" s="112">
        <v>65</v>
      </c>
      <c r="H116" s="112">
        <v>65</v>
      </c>
      <c r="I116" s="111" t="s">
        <v>24</v>
      </c>
    </row>
    <row r="117" spans="2:9" ht="72" x14ac:dyDescent="0.2">
      <c r="B117" s="110" t="s">
        <v>462</v>
      </c>
      <c r="C117" s="111" t="s">
        <v>160</v>
      </c>
      <c r="D117" s="111" t="s">
        <v>87</v>
      </c>
      <c r="E117" s="110" t="s">
        <v>161</v>
      </c>
      <c r="F117" s="112" t="s">
        <v>376</v>
      </c>
      <c r="G117" s="112">
        <v>17</v>
      </c>
      <c r="H117" s="112">
        <v>17</v>
      </c>
      <c r="I117" s="111" t="s">
        <v>24</v>
      </c>
    </row>
    <row r="118" spans="2:9" ht="90" x14ac:dyDescent="0.2">
      <c r="B118" s="110" t="s">
        <v>463</v>
      </c>
      <c r="C118" s="111" t="s">
        <v>162</v>
      </c>
      <c r="D118" s="111" t="s">
        <v>12</v>
      </c>
      <c r="E118" s="110" t="s">
        <v>163</v>
      </c>
      <c r="F118" s="112" t="s">
        <v>376</v>
      </c>
      <c r="G118" s="112">
        <v>1</v>
      </c>
      <c r="H118" s="112">
        <v>1</v>
      </c>
      <c r="I118" s="111" t="s">
        <v>24</v>
      </c>
    </row>
    <row r="119" spans="2:9" ht="54" x14ac:dyDescent="0.2">
      <c r="B119" s="110" t="s">
        <v>464</v>
      </c>
      <c r="C119" s="111" t="s">
        <v>164</v>
      </c>
      <c r="D119" s="111" t="s">
        <v>12</v>
      </c>
      <c r="E119" s="110" t="s">
        <v>165</v>
      </c>
      <c r="F119" s="112" t="s">
        <v>376</v>
      </c>
      <c r="G119" s="112">
        <v>2</v>
      </c>
      <c r="H119" s="112">
        <v>2</v>
      </c>
      <c r="I119" s="111" t="s">
        <v>24</v>
      </c>
    </row>
    <row r="120" spans="2:9" ht="54" x14ac:dyDescent="0.2">
      <c r="B120" s="110" t="s">
        <v>465</v>
      </c>
      <c r="C120" s="111" t="s">
        <v>166</v>
      </c>
      <c r="D120" s="111" t="s">
        <v>12</v>
      </c>
      <c r="E120" s="110" t="s">
        <v>167</v>
      </c>
      <c r="F120" s="112" t="s">
        <v>376</v>
      </c>
      <c r="G120" s="112">
        <v>7</v>
      </c>
      <c r="H120" s="112">
        <v>7</v>
      </c>
      <c r="I120" s="111" t="s">
        <v>24</v>
      </c>
    </row>
    <row r="121" spans="2:9" ht="54" x14ac:dyDescent="0.2">
      <c r="B121" s="110" t="s">
        <v>466</v>
      </c>
      <c r="C121" s="111" t="s">
        <v>168</v>
      </c>
      <c r="D121" s="111" t="s">
        <v>12</v>
      </c>
      <c r="E121" s="110" t="s">
        <v>169</v>
      </c>
      <c r="F121" s="112" t="s">
        <v>376</v>
      </c>
      <c r="G121" s="112">
        <v>2</v>
      </c>
      <c r="H121" s="112">
        <v>2</v>
      </c>
      <c r="I121" s="111" t="s">
        <v>24</v>
      </c>
    </row>
    <row r="122" spans="2:9" ht="54" x14ac:dyDescent="0.2">
      <c r="B122" s="110" t="s">
        <v>467</v>
      </c>
      <c r="C122" s="111" t="s">
        <v>170</v>
      </c>
      <c r="D122" s="111" t="s">
        <v>12</v>
      </c>
      <c r="E122" s="110" t="s">
        <v>171</v>
      </c>
      <c r="F122" s="112" t="s">
        <v>376</v>
      </c>
      <c r="G122" s="112">
        <v>2</v>
      </c>
      <c r="H122" s="112">
        <v>2</v>
      </c>
      <c r="I122" s="111" t="s">
        <v>24</v>
      </c>
    </row>
    <row r="123" spans="2:9" ht="54" x14ac:dyDescent="0.2">
      <c r="B123" s="110" t="s">
        <v>468</v>
      </c>
      <c r="C123" s="111" t="s">
        <v>174</v>
      </c>
      <c r="D123" s="111" t="s">
        <v>87</v>
      </c>
      <c r="E123" s="110" t="s">
        <v>175</v>
      </c>
      <c r="F123" s="112" t="s">
        <v>376</v>
      </c>
      <c r="G123" s="112">
        <v>1</v>
      </c>
      <c r="H123" s="112">
        <v>1</v>
      </c>
      <c r="I123" s="111" t="s">
        <v>24</v>
      </c>
    </row>
    <row r="124" spans="2:9" ht="18" x14ac:dyDescent="0.25">
      <c r="B124" s="132"/>
      <c r="C124" s="113"/>
      <c r="D124" s="113"/>
      <c r="E124" s="132"/>
      <c r="F124" s="133"/>
      <c r="G124" s="133"/>
      <c r="H124" s="133" t="s">
        <v>404</v>
      </c>
      <c r="I124" s="113"/>
    </row>
    <row r="125" spans="2:9" ht="34.9" customHeight="1" x14ac:dyDescent="0.25">
      <c r="B125" s="132"/>
      <c r="C125" s="113"/>
      <c r="D125" s="113"/>
      <c r="E125" s="132"/>
      <c r="F125" s="133"/>
      <c r="G125" s="133"/>
      <c r="H125" s="133"/>
      <c r="I125" s="113"/>
    </row>
    <row r="126" spans="2:9" ht="94.15" customHeight="1" x14ac:dyDescent="0.2">
      <c r="B126" s="205" t="s">
        <v>402</v>
      </c>
      <c r="C126" s="205"/>
      <c r="D126" s="205"/>
      <c r="E126" s="205"/>
      <c r="F126" s="205"/>
      <c r="G126" s="205"/>
      <c r="H126" s="205"/>
      <c r="I126" s="205"/>
    </row>
    <row r="127" spans="2:9" ht="18" x14ac:dyDescent="0.25">
      <c r="B127" s="132"/>
      <c r="C127" s="113"/>
      <c r="D127" s="113"/>
      <c r="E127" s="132"/>
      <c r="F127" s="133"/>
      <c r="G127" s="133"/>
      <c r="H127" s="133"/>
      <c r="I127" s="113"/>
    </row>
    <row r="128" spans="2:9" x14ac:dyDescent="0.2">
      <c r="B128" s="9"/>
      <c r="C128" s="23"/>
      <c r="D128" s="23"/>
      <c r="E128" s="9"/>
      <c r="F128" s="24"/>
      <c r="G128" s="24"/>
      <c r="H128" s="24"/>
      <c r="I128" s="23"/>
    </row>
    <row r="129" spans="2:9" x14ac:dyDescent="0.2">
      <c r="B129" s="9"/>
      <c r="C129" s="23"/>
      <c r="D129" s="23"/>
      <c r="E129" s="199"/>
      <c r="F129" s="24"/>
      <c r="G129" s="24"/>
      <c r="H129" s="24"/>
      <c r="I129" s="23"/>
    </row>
    <row r="130" spans="2:9" x14ac:dyDescent="0.2">
      <c r="B130" s="9"/>
      <c r="C130" s="23"/>
      <c r="D130" s="23"/>
      <c r="E130" s="200"/>
      <c r="F130" s="24"/>
      <c r="G130" s="24"/>
      <c r="H130" s="24"/>
      <c r="I130" s="23"/>
    </row>
    <row r="131" spans="2:9" x14ac:dyDescent="0.2">
      <c r="B131" s="9"/>
      <c r="C131" s="23"/>
      <c r="D131" s="23"/>
      <c r="E131" s="200"/>
      <c r="F131" s="24"/>
      <c r="G131" s="24"/>
      <c r="H131" s="24"/>
      <c r="I131" s="23"/>
    </row>
    <row r="132" spans="2:9" x14ac:dyDescent="0.2">
      <c r="B132" s="9"/>
      <c r="C132" s="23"/>
      <c r="D132" s="23"/>
      <c r="E132" s="200"/>
      <c r="F132" s="24"/>
      <c r="G132" s="24"/>
      <c r="H132" s="24"/>
      <c r="I132" s="23"/>
    </row>
    <row r="133" spans="2:9" ht="27" customHeight="1" x14ac:dyDescent="0.2">
      <c r="B133" s="9"/>
      <c r="C133" s="23"/>
      <c r="D133" s="23"/>
      <c r="E133" s="200"/>
      <c r="F133" s="24"/>
      <c r="G133" s="24"/>
      <c r="H133" s="24"/>
      <c r="I133" s="23"/>
    </row>
  </sheetData>
  <mergeCells count="6">
    <mergeCell ref="E129:E133"/>
    <mergeCell ref="B2:I2"/>
    <mergeCell ref="B3:I3"/>
    <mergeCell ref="B4:I4"/>
    <mergeCell ref="B1:I1"/>
    <mergeCell ref="B126:I126"/>
  </mergeCells>
  <pageMargins left="0.511811024" right="0.511811024" top="0.78740157499999996" bottom="0.78740157499999996" header="0.31496062000000002" footer="0.31496062000000002"/>
  <pageSetup paperSize="9"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4</vt:i4>
      </vt:variant>
    </vt:vector>
  </HeadingPairs>
  <TitlesOfParts>
    <vt:vector size="8" baseType="lpstr">
      <vt:lpstr>Orçamento Sintético</vt:lpstr>
      <vt:lpstr>BDI</vt:lpstr>
      <vt:lpstr>CRONOGRAMA</vt:lpstr>
      <vt:lpstr>Memória de Cálculo</vt:lpstr>
      <vt:lpstr>BDI!Area_de_impressao</vt:lpstr>
      <vt:lpstr>CRONOGRAMA!Area_de_impressao</vt:lpstr>
      <vt:lpstr>'Memória de Cálculo'!Area_de_impressao</vt:lpstr>
      <vt:lpstr>'Orçamento Sintético'!Area_de_impressao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Licitaçao</cp:lastModifiedBy>
  <cp:revision>0</cp:revision>
  <cp:lastPrinted>2020-08-11T17:34:30Z</cp:lastPrinted>
  <dcterms:created xsi:type="dcterms:W3CDTF">2020-06-10T00:16:59Z</dcterms:created>
  <dcterms:modified xsi:type="dcterms:W3CDTF">2020-08-14T16:53:47Z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